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xhlFBMzAXalBinfx85Ad+nSXlsmBMojbZVb8aJED7VUIwybNdabyln61LE4rSQrQHn6WMh6/MXpMNBcj/WA9gg==" workbookSaltValue="UdaGIkwk+VOQGUiUOuCf3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L19" i="8"/>
  <c r="AP12" i="11"/>
  <c r="EN19" i="8"/>
  <c r="G10" i="3"/>
  <c r="BA13" i="16"/>
  <c r="J10" i="2"/>
  <c r="AP10" i="11"/>
  <c r="T10" i="21"/>
  <c r="ES19" i="8"/>
  <c r="G18" i="12"/>
  <c r="C18" i="7"/>
  <c r="BM19" i="8"/>
  <c r="AL13" i="16"/>
  <c r="S13" i="16"/>
  <c r="P13" i="16"/>
  <c r="AM13" i="20"/>
  <c r="M18" i="2"/>
  <c r="H13" i="12"/>
  <c r="F13" i="7"/>
  <c r="T13" i="12"/>
  <c r="BH10" i="11"/>
  <c r="BI9" i="11"/>
  <c r="AQ10" i="21"/>
  <c r="T12" i="11"/>
  <c r="BJ10" i="11"/>
  <c r="BK16" i="11"/>
  <c r="BH11" i="11"/>
  <c r="BG16" i="11"/>
  <c r="T11" i="11"/>
  <c r="BH16" i="11"/>
  <c r="AQ12" i="21"/>
  <c r="BJ16" i="11"/>
  <c r="BL16" i="11"/>
  <c r="BD15" i="8"/>
  <c r="BA13" i="8"/>
  <c r="AA10" i="16"/>
  <c r="S15" i="17"/>
  <c r="E13" i="17"/>
  <c r="S16" i="17"/>
  <c r="L12" i="2"/>
  <c r="L17" i="2"/>
  <c r="X15" i="16"/>
  <c r="X18" i="16" s="1"/>
  <c r="AA11" i="16"/>
  <c r="T13" i="20"/>
  <c r="T13" i="16"/>
  <c r="AP13" i="16"/>
  <c r="V9" i="16"/>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17" i="6" l="1"/>
  <c r="BM18" i="16"/>
  <c r="AV18" i="21"/>
  <c r="I19" i="8"/>
  <c r="BF16" i="8"/>
  <c r="AE19" i="8"/>
  <c r="G12" i="12"/>
  <c r="Z13" i="17"/>
  <c r="BE12" i="8"/>
  <c r="F12" i="21"/>
  <c r="S19" i="8"/>
  <c r="AC10" i="11"/>
  <c r="C11" i="6"/>
  <c r="X12" i="21"/>
  <c r="BJ17" i="11"/>
  <c r="V11" i="16"/>
  <c r="BL12" i="11"/>
  <c r="S9" i="17"/>
  <c r="S16" i="14"/>
  <c r="V16" i="14" s="1"/>
  <c r="BJ12" i="11"/>
  <c r="BK17" i="11"/>
  <c r="T15" i="16"/>
  <c r="BV17" i="16"/>
  <c r="BV16" i="16"/>
  <c r="BW16" i="20"/>
  <c r="BV15" i="16"/>
  <c r="BW15" i="20"/>
  <c r="BU9" i="17"/>
  <c r="BV10" i="16"/>
  <c r="BU17" i="17"/>
  <c r="BU12" i="17"/>
  <c r="AA16" i="16"/>
  <c r="AZ16" i="11"/>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BH9" i="16"/>
  <c r="BI10" i="11"/>
  <c r="BJ11" i="11"/>
  <c r="BG15" i="11"/>
  <c r="T17" i="16"/>
  <c r="BU11" i="17"/>
  <c r="BU10" i="17"/>
  <c r="BV12" i="16"/>
  <c r="BW12" i="20"/>
  <c r="BV11" i="16"/>
  <c r="U10" i="17"/>
  <c r="BW10" i="20"/>
  <c r="BU16" i="17"/>
  <c r="S12" i="14"/>
  <c r="V12" i="14" s="1"/>
  <c r="S11" i="14"/>
  <c r="V11" i="14" s="1"/>
  <c r="T16" i="11"/>
  <c r="BG12" i="11"/>
  <c r="BH15" i="16"/>
  <c r="BF16" i="11"/>
  <c r="BW11" i="20"/>
  <c r="BV9" i="16"/>
  <c r="AZ12" i="11"/>
  <c r="Q17" i="17"/>
  <c r="X15" i="17"/>
  <c r="AA9" i="16"/>
  <c r="V12" i="21"/>
  <c r="AN12" i="11"/>
  <c r="D10" i="6"/>
  <c r="BF15" i="8"/>
  <c r="BF11" i="8"/>
  <c r="J11" i="7" s="1"/>
  <c r="BF9" i="8"/>
  <c r="BG9" i="8"/>
  <c r="K9" i="7" s="1"/>
  <c r="BG12" i="8"/>
  <c r="E9" i="6"/>
  <c r="AO17" i="11"/>
  <c r="AO15" i="11"/>
  <c r="AL16" i="11"/>
  <c r="AB13" i="21"/>
  <c r="AB21" i="21" s="1"/>
  <c r="BG16" i="13"/>
  <c r="BD16" i="13"/>
  <c r="BE15" i="13"/>
  <c r="F15" i="16"/>
  <c r="BL15" i="16" s="1"/>
  <c r="BE12" i="21"/>
  <c r="AO9" i="11"/>
  <c r="BE9" i="13"/>
  <c r="AL9" i="11"/>
  <c r="E11" i="6"/>
  <c r="R17" i="20"/>
  <c r="R18" i="20" s="1"/>
  <c r="AP15" i="20"/>
  <c r="R10" i="21"/>
  <c r="R13" i="21" s="1"/>
  <c r="V9" i="11"/>
  <c r="Q10" i="21"/>
  <c r="V11" i="11"/>
  <c r="BK15" i="11"/>
  <c r="S17" i="16"/>
  <c r="BF17" i="11"/>
  <c r="Q17" i="20"/>
  <c r="Q18" i="20" s="1"/>
  <c r="BH15" i="11"/>
  <c r="V15" i="11"/>
  <c r="AP16" i="20"/>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AB19" i="21"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<sst xmlns="http://schemas.openxmlformats.org/spreadsheetml/2006/main" count="2094" uniqueCount="913">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</sst>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ikUQlcHfWImBJ7HclCuZQqsFv4TJherYvTkQZwYOeCqDRCYCETf2y2W9mZ84oAnKTbU2s2cnxxV68qdhnFYZQ==" saltValue="v91ub6SM6ZYvv3cOaUBT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1</v>
      </c>
      <c r="F10" s="230">
        <f>IF(ISNUMBER(Datos!K10),Datos!K10," - ")</f>
        <v>0</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38.685393258426963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468</v>
      </c>
      <c r="D16" s="229">
        <f>IF(ISNUMBER(IF(D_I="SI",Datos!I16,Datos!I16+Datos!AC16)),IF(D_I="SI",Datos!I16,Datos!I16+Datos!AC16)," - ")</f>
        <v>460</v>
      </c>
      <c r="E16" s="230">
        <f>IF(ISNUMBER(IF(D_I="SI",Datos!J16,Datos!J16+Datos!AD16)),IF(D_I="SI",Datos!J16,Datos!J16+Datos!AD16)," - ")</f>
        <v>220</v>
      </c>
      <c r="F16" s="230">
        <f>IF(ISNUMBER(IF(D_I="SI",Datos!K16,Datos!K16+Datos!AE16)),IF(D_I="SI",Datos!K16,Datos!K16+Datos!AE16)," - ")</f>
        <v>140</v>
      </c>
      <c r="G16" s="1189" t="str">
        <f>IF(Datos!E16&lt;&gt;"",Datos!E16,Datos!D16)</f>
        <v>04</v>
      </c>
      <c r="H16" s="231">
        <f>IF(ISNUMBER(IF(D_I="SI",Datos!L16,Datos!L16+Datos!AF16)),IF(D_I="SI",Datos!L16,Datos!L16+Datos!AF16)," - ")</f>
        <v>548</v>
      </c>
      <c r="I16" s="1199" t="str">
        <f>IF(ISNUMBER(Datos!AS16/Datos!BM16),Datos!AS16/Datos!BM16," - ")</f>
        <v xml:space="preserve"> - </v>
      </c>
      <c r="J16" s="1200">
        <f>IF(ISNUMBER(Datos!BY16/Datos!CN16),Datos!BY16/Datos!CN16," - ")</f>
        <v>0</v>
      </c>
      <c r="K16" s="234">
        <f t="shared" si="3"/>
        <v>0.17094017094017094</v>
      </c>
      <c r="L16" s="1201">
        <f>IF(ISNUMBER(NºAsuntos!I16/NºAsuntos!G16),(NºAsuntos!I16/NºAsuntos!G16)*11," - ")</f>
        <v>43.057142857142857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19</v>
      </c>
      <c r="E17" s="230">
        <f>IF(ISNUMBER(IF(D_I="SI",Datos!J17,Datos!J17+Datos!AD17)),IF(D_I="SI",Datos!J17,Datos!J17+Datos!AD17)," - ")</f>
        <v>22</v>
      </c>
      <c r="F17" s="230">
        <f>IF(ISNUMBER(IF(D_I="SI",Datos!K17,Datos!K17+Datos!AE17)),IF(D_I="SI",Datos!K17,Datos!K17+Datos!AE17)," - ")</f>
        <v>17</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0.26315789473684209</v>
      </c>
      <c r="L17" s="1201">
        <f>IF(ISNUMBER(NºAsuntos!I17/NºAsuntos!G17),(NºAsuntos!I17/NºAsuntos!G17)*11," - ")</f>
        <v>15.529411764705884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487</v>
      </c>
      <c r="D18" s="1206">
        <f>SUBTOTAL(9,D15:D17)</f>
        <v>479</v>
      </c>
      <c r="E18" s="1207">
        <f>SUBTOTAL(9,E15:E17)</f>
        <v>242</v>
      </c>
      <c r="F18" s="1207">
        <f>SUBTOTAL(9,F15:F17)</f>
        <v>157</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497</v>
      </c>
      <c r="D19" s="1228">
        <f>SUBTOTAL(9,D9:D18)</f>
        <v>489</v>
      </c>
      <c r="E19" s="1229">
        <f>SUBTOTAL(9,E9:E18)</f>
        <v>243</v>
      </c>
      <c r="F19" s="1229">
        <f>SUBTOTAL(9,F9:F18)</f>
        <v>157</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SOCmk+4aJbXact02urcnz9IJ5joX/CwVJTUQ+0CYzB08pD0KurCBUUNS3NsdkBq2Yfl8v7gQ5mqzY1+GEZua8w==" saltValue="bvgZ7RrD9uYckE6aVu9+m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echmhKsLXTMcys+3Kanh7X5oHeT78AK/Jn5VgpEXwAWwE1m3iY7bfyAUSL9m4/2KmYBSrdl9X3VKn+h8mUCqQ==" saltValue="DaSq+mRB8kuWs5l/ZAHp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1</v>
      </c>
      <c r="K10" s="185">
        <v>0</v>
      </c>
      <c r="L10" s="185">
        <v>11</v>
      </c>
      <c r="M10" s="185">
        <v>0</v>
      </c>
      <c r="N10" s="185">
        <v>0</v>
      </c>
      <c r="O10" s="185">
        <v>0</v>
      </c>
      <c r="P10" s="185">
        <v>0</v>
      </c>
      <c r="Q10" s="185">
        <v>0</v>
      </c>
      <c r="R10" s="185">
        <v>1</v>
      </c>
      <c r="S10" s="185">
        <v>6</v>
      </c>
      <c r="T10" s="185">
        <v>1</v>
      </c>
      <c r="U10" s="185">
        <v>0</v>
      </c>
      <c r="V10" s="185">
        <v>7</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1</v>
      </c>
      <c r="BA10" s="130">
        <f t="shared" si="0"/>
        <v>0</v>
      </c>
      <c r="BB10" s="130">
        <f t="shared" si="0"/>
        <v>7</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590</v>
      </c>
      <c r="J12" s="187">
        <v>186</v>
      </c>
      <c r="K12" s="187">
        <v>166</v>
      </c>
      <c r="L12" s="187">
        <v>610</v>
      </c>
      <c r="M12" s="187">
        <v>60</v>
      </c>
      <c r="N12" s="187">
        <v>64</v>
      </c>
      <c r="O12" s="185">
        <v>66</v>
      </c>
      <c r="P12" s="187">
        <v>29</v>
      </c>
      <c r="Q12" s="187">
        <v>20</v>
      </c>
      <c r="R12" s="187">
        <v>1074</v>
      </c>
      <c r="S12" s="187">
        <v>500</v>
      </c>
      <c r="T12" s="187">
        <v>222</v>
      </c>
      <c r="U12" s="187">
        <v>183</v>
      </c>
      <c r="V12" s="187">
        <v>539</v>
      </c>
      <c r="W12" s="187">
        <v>77</v>
      </c>
      <c r="X12" s="193">
        <v>60</v>
      </c>
      <c r="Y12" s="195">
        <v>10</v>
      </c>
      <c r="Z12" s="185">
        <v>18</v>
      </c>
      <c r="AA12" s="185">
        <v>12</v>
      </c>
      <c r="AB12" s="185">
        <v>16</v>
      </c>
      <c r="AC12" s="187">
        <v>0</v>
      </c>
      <c r="AD12" s="187">
        <v>0</v>
      </c>
      <c r="AE12" s="187">
        <v>0</v>
      </c>
      <c r="AF12" s="193">
        <v>0</v>
      </c>
      <c r="AG12" s="206">
        <v>16</v>
      </c>
      <c r="AH12" s="187">
        <v>15</v>
      </c>
      <c r="AI12" s="187">
        <v>14</v>
      </c>
      <c r="AJ12" s="207">
        <v>17</v>
      </c>
      <c r="AK12" s="186">
        <v>0</v>
      </c>
      <c r="AL12" s="187">
        <v>0</v>
      </c>
      <c r="AM12" s="187">
        <v>0</v>
      </c>
      <c r="AN12" s="193">
        <v>0</v>
      </c>
      <c r="AO12" s="263">
        <v>2</v>
      </c>
      <c r="AP12" s="159">
        <v>2</v>
      </c>
      <c r="AQ12" s="159">
        <v>2</v>
      </c>
      <c r="AR12" s="158">
        <v>2</v>
      </c>
      <c r="AS12" s="349" t="s">
        <v>811</v>
      </c>
      <c r="AT12" s="207"/>
      <c r="AU12" s="206"/>
      <c r="AV12" s="207"/>
      <c r="AW12" s="206"/>
      <c r="AX12" s="207"/>
      <c r="AY12" s="127">
        <f t="shared" si="1"/>
        <v>516</v>
      </c>
      <c r="AZ12" s="128">
        <f t="shared" si="1"/>
        <v>237</v>
      </c>
      <c r="BA12" s="128">
        <f t="shared" si="1"/>
        <v>197</v>
      </c>
      <c r="BB12" s="128">
        <f t="shared" si="1"/>
        <v>556</v>
      </c>
      <c r="BC12" s="126">
        <f>IF(ISNUMBER(X12),X12," - ")</f>
        <v>60</v>
      </c>
      <c r="BD12" s="127">
        <f t="shared" si="2"/>
        <v>0.83122362869198307</v>
      </c>
      <c r="BE12" s="128">
        <f t="shared" si="3"/>
        <v>2.8223350253807107</v>
      </c>
      <c r="BF12" s="128">
        <f t="shared" si="4"/>
        <v>0.30456852791878175</v>
      </c>
      <c r="BG12" s="200">
        <f t="shared" si="5"/>
        <v>3.8223350253807107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600</v>
      </c>
      <c r="J13" s="188">
        <f t="shared" si="6"/>
        <v>187</v>
      </c>
      <c r="K13" s="188">
        <f t="shared" si="6"/>
        <v>166</v>
      </c>
      <c r="L13" s="188">
        <f t="shared" si="6"/>
        <v>621</v>
      </c>
      <c r="M13" s="188">
        <f t="shared" si="6"/>
        <v>60</v>
      </c>
      <c r="N13" s="188">
        <f t="shared" si="6"/>
        <v>64</v>
      </c>
      <c r="O13" s="188">
        <f t="shared" si="6"/>
        <v>66</v>
      </c>
      <c r="P13" s="188">
        <f t="shared" si="6"/>
        <v>29</v>
      </c>
      <c r="Q13" s="188">
        <f t="shared" si="6"/>
        <v>20</v>
      </c>
      <c r="R13" s="188">
        <f t="shared" si="6"/>
        <v>1075</v>
      </c>
      <c r="S13" s="188">
        <f t="shared" si="6"/>
        <v>506</v>
      </c>
      <c r="T13" s="188">
        <f t="shared" si="6"/>
        <v>223</v>
      </c>
      <c r="U13" s="188">
        <f t="shared" si="6"/>
        <v>183</v>
      </c>
      <c r="V13" s="188">
        <f t="shared" si="6"/>
        <v>546</v>
      </c>
      <c r="W13" s="188">
        <f t="shared" si="6"/>
        <v>77</v>
      </c>
      <c r="X13" s="188">
        <f t="shared" si="6"/>
        <v>60</v>
      </c>
      <c r="Y13" s="188">
        <f t="shared" si="6"/>
        <v>10</v>
      </c>
      <c r="Z13" s="188">
        <f t="shared" si="6"/>
        <v>18</v>
      </c>
      <c r="AA13" s="188">
        <f t="shared" si="6"/>
        <v>12</v>
      </c>
      <c r="AB13" s="188">
        <f t="shared" si="6"/>
        <v>16</v>
      </c>
      <c r="AC13" s="188">
        <f t="shared" si="6"/>
        <v>0</v>
      </c>
      <c r="AD13" s="188">
        <f t="shared" si="6"/>
        <v>0</v>
      </c>
      <c r="AE13" s="188">
        <f t="shared" si="6"/>
        <v>0</v>
      </c>
      <c r="AF13" s="188">
        <f>SUBTOTAL(9,AF9:AF12)</f>
        <v>0</v>
      </c>
      <c r="AG13" s="188">
        <f t="shared" ref="AG13:AT13" si="7">SUBTOTAL(9,AG8:AG12)</f>
        <v>16</v>
      </c>
      <c r="AH13" s="188">
        <f t="shared" si="7"/>
        <v>15</v>
      </c>
      <c r="AI13" s="188">
        <f t="shared" si="7"/>
        <v>14</v>
      </c>
      <c r="AJ13" s="188">
        <f t="shared" si="7"/>
        <v>17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522</v>
      </c>
      <c r="AZ13" s="188">
        <f>SUBTOTAL(9,AZ8:AZ12)</f>
        <v>238</v>
      </c>
      <c r="BA13" s="188">
        <f>SUBTOTAL(9,BA8:BA12)</f>
        <v>197</v>
      </c>
      <c r="BB13" s="188">
        <f>SUBTOTAL(9,BB8:BB12)</f>
        <v>563</v>
      </c>
      <c r="BC13" s="188">
        <f>SUBTOTAL(9,BC8:BC12)</f>
        <v>60</v>
      </c>
      <c r="BD13" s="209">
        <f>IF(ISNUMBER(BA13/AZ13),BA13/AZ13," - ")</f>
        <v>0.82773109243697474</v>
      </c>
      <c r="BE13" s="210">
        <f>IF(ISNUMBER(BB13/BA13),BB13/BA13, " - ")</f>
        <v>2.8578680203045685</v>
      </c>
      <c r="BF13" s="210">
        <f>IF(ISNUMBER(BC13/BA13),BC13/BA13, " - ")</f>
        <v>0.30456852791878175</v>
      </c>
      <c r="BG13" s="211">
        <f>IF(ISNUMBER((AY13+AZ13)/BA13),(AY13+AZ13)/BA13," - ")</f>
        <v>3.8578680203045685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460</v>
      </c>
      <c r="J16" s="187">
        <v>220</v>
      </c>
      <c r="K16" s="187">
        <v>140</v>
      </c>
      <c r="L16" s="187">
        <v>548</v>
      </c>
      <c r="M16" s="187">
        <v>35</v>
      </c>
      <c r="N16" s="187">
        <v>64</v>
      </c>
      <c r="O16" s="185">
        <v>1</v>
      </c>
      <c r="P16" s="187">
        <v>13</v>
      </c>
      <c r="Q16" s="187">
        <v>13</v>
      </c>
      <c r="R16" s="187">
        <v>55</v>
      </c>
      <c r="S16" s="187">
        <v>335</v>
      </c>
      <c r="T16" s="187">
        <v>189</v>
      </c>
      <c r="U16" s="187">
        <v>168</v>
      </c>
      <c r="V16" s="187">
        <v>363</v>
      </c>
      <c r="W16" s="187">
        <v>29</v>
      </c>
      <c r="X16" s="193">
        <v>93</v>
      </c>
      <c r="Y16" s="206">
        <v>0</v>
      </c>
      <c r="Z16" s="187">
        <v>0</v>
      </c>
      <c r="AA16" s="187">
        <v>0</v>
      </c>
      <c r="AB16" s="187">
        <v>0</v>
      </c>
      <c r="AC16" s="187">
        <v>0</v>
      </c>
      <c r="AD16" s="187">
        <v>2</v>
      </c>
      <c r="AE16" s="187">
        <v>2</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335</v>
      </c>
      <c r="AZ16" s="128">
        <f t="shared" si="9"/>
        <v>189</v>
      </c>
      <c r="BA16" s="128">
        <f t="shared" si="9"/>
        <v>168</v>
      </c>
      <c r="BB16" s="128">
        <f t="shared" si="9"/>
        <v>363</v>
      </c>
      <c r="BC16" s="126">
        <f>IF(ISNUMBER(W16),W16," - ")</f>
        <v>29</v>
      </c>
      <c r="BD16" s="127">
        <f t="shared" ref="BD16" si="11">IF(ISNUMBER(BA16/AZ16),BA16/AZ16," - ")</f>
        <v>0.88888888888888884</v>
      </c>
      <c r="BE16" s="128">
        <f t="shared" ref="BE16" si="12">IF(ISNUMBER(BB16/BA16),BB16/BA16, " - ")</f>
        <v>2.1607142857142856</v>
      </c>
      <c r="BF16" s="128">
        <f t="shared" ref="BF16" si="13">IF(ISNUMBER(BC16/BA16),BC16/BA16, " - ")</f>
        <v>0.17261904761904762</v>
      </c>
      <c r="BG16" s="200">
        <f t="shared" si="10"/>
        <v>3.1190476190476191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v>
      </c>
      <c r="J17" s="187">
        <v>22</v>
      </c>
      <c r="K17" s="187">
        <v>17</v>
      </c>
      <c r="L17" s="187">
        <v>24</v>
      </c>
      <c r="M17" s="187">
        <v>1</v>
      </c>
      <c r="N17" s="187">
        <v>12</v>
      </c>
      <c r="O17" s="187">
        <v>0</v>
      </c>
      <c r="P17" s="187">
        <v>0</v>
      </c>
      <c r="Q17" s="187">
        <v>0</v>
      </c>
      <c r="R17" s="187">
        <v>0</v>
      </c>
      <c r="S17" s="187">
        <v>8</v>
      </c>
      <c r="T17" s="187">
        <v>22</v>
      </c>
      <c r="U17" s="187">
        <v>17</v>
      </c>
      <c r="V17" s="187">
        <v>13</v>
      </c>
      <c r="W17" s="187">
        <v>0</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22</v>
      </c>
      <c r="BA17" s="130">
        <f t="shared" si="14"/>
        <v>17</v>
      </c>
      <c r="BB17" s="130">
        <f t="shared" si="14"/>
        <v>13</v>
      </c>
      <c r="BC17" s="126">
        <f>IF(ISNUMBER(W17),W17," - ")</f>
        <v>0</v>
      </c>
      <c r="BD17" s="127">
        <f>IF(ISNUMBER(BA17/AZ17),BA17/AZ17," - ")</f>
        <v>0.77272727272727271</v>
      </c>
      <c r="BE17" s="128">
        <f>IF(ISNUMBER(BB17/BA17),BB17/BA17, " - ")</f>
        <v>0.76470588235294112</v>
      </c>
      <c r="BF17" s="128">
        <f>IF(ISNUMBER(BC17/BA17),BC17/BA17, " - ")</f>
        <v>0</v>
      </c>
      <c r="BG17" s="200">
        <f>IF(ISNUMBER((AY17+AZ17)/BA17),(AY17+AZ17)/BA17," - ")</f>
        <v>1.7647058823529411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479</v>
      </c>
      <c r="J18" s="188">
        <f t="shared" si="15"/>
        <v>242</v>
      </c>
      <c r="K18" s="188">
        <f t="shared" si="15"/>
        <v>157</v>
      </c>
      <c r="L18" s="188">
        <f t="shared" si="15"/>
        <v>572</v>
      </c>
      <c r="M18" s="188">
        <f t="shared" si="15"/>
        <v>36</v>
      </c>
      <c r="N18" s="188">
        <f t="shared" si="15"/>
        <v>76</v>
      </c>
      <c r="O18" s="188">
        <f t="shared" si="15"/>
        <v>1</v>
      </c>
      <c r="P18" s="188">
        <f t="shared" si="15"/>
        <v>13</v>
      </c>
      <c r="Q18" s="188">
        <f t="shared" si="15"/>
        <v>13</v>
      </c>
      <c r="R18" s="188">
        <f t="shared" si="15"/>
        <v>55</v>
      </c>
      <c r="S18" s="188">
        <f t="shared" si="15"/>
        <v>343</v>
      </c>
      <c r="T18" s="188">
        <f t="shared" si="15"/>
        <v>211</v>
      </c>
      <c r="U18" s="188">
        <f t="shared" si="15"/>
        <v>185</v>
      </c>
      <c r="V18" s="188">
        <f t="shared" si="15"/>
        <v>376</v>
      </c>
      <c r="W18" s="188">
        <f t="shared" si="15"/>
        <v>29</v>
      </c>
      <c r="X18" s="188">
        <f t="shared" si="15"/>
        <v>101</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343</v>
      </c>
      <c r="AZ18" s="188">
        <f>SUBTOTAL(9,AZ14:AZ17)</f>
        <v>211</v>
      </c>
      <c r="BA18" s="188">
        <f>SUBTOTAL(9,BA14:BA17)</f>
        <v>185</v>
      </c>
      <c r="BB18" s="188">
        <f>SUBTOTAL(9,BB14:BB17)</f>
        <v>376</v>
      </c>
      <c r="BC18" s="188">
        <f>SUBTOTAL(9,BC14:BC17)</f>
        <v>29</v>
      </c>
      <c r="BD18" s="209">
        <f>IF(ISNUMBER(BA18/AZ18),BA18/AZ18," - ")</f>
        <v>0.87677725118483407</v>
      </c>
      <c r="BE18" s="210">
        <f>IF(ISNUMBER(BB18/BA18),BB18/BA18, " - ")</f>
        <v>2.0324324324324325</v>
      </c>
      <c r="BF18" s="210">
        <f>IF(ISNUMBER(BC18/BA18),BC18/BA18, " - ")</f>
        <v>0.15675675675675677</v>
      </c>
      <c r="BG18" s="211">
        <f>IF(ISNUMBER((AY18+AZ18)/BA18),(AY18+AZ18)/BA18," - ")</f>
        <v>2.9945945945945946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1079</v>
      </c>
      <c r="J19" s="135">
        <f t="shared" si="18"/>
        <v>429</v>
      </c>
      <c r="K19" s="135">
        <f t="shared" si="18"/>
        <v>323</v>
      </c>
      <c r="L19" s="135">
        <f t="shared" si="18"/>
        <v>1193</v>
      </c>
      <c r="M19" s="135">
        <f t="shared" si="18"/>
        <v>96</v>
      </c>
      <c r="N19" s="135">
        <f t="shared" si="18"/>
        <v>140</v>
      </c>
      <c r="O19" s="135">
        <f t="shared" si="18"/>
        <v>67</v>
      </c>
      <c r="P19" s="135">
        <f t="shared" si="18"/>
        <v>42</v>
      </c>
      <c r="Q19" s="135">
        <f t="shared" si="18"/>
        <v>33</v>
      </c>
      <c r="R19" s="135">
        <f t="shared" si="18"/>
        <v>1130</v>
      </c>
      <c r="S19" s="135">
        <f t="shared" si="18"/>
        <v>849</v>
      </c>
      <c r="T19" s="135">
        <f t="shared" si="18"/>
        <v>434</v>
      </c>
      <c r="U19" s="135">
        <f t="shared" si="18"/>
        <v>368</v>
      </c>
      <c r="V19" s="135">
        <f t="shared" si="18"/>
        <v>922</v>
      </c>
      <c r="W19" s="135">
        <f t="shared" si="18"/>
        <v>106</v>
      </c>
      <c r="X19" s="135">
        <f t="shared" si="18"/>
        <v>161</v>
      </c>
      <c r="Y19" s="135">
        <f t="shared" si="18"/>
        <v>10</v>
      </c>
      <c r="Z19" s="135">
        <f t="shared" si="18"/>
        <v>18</v>
      </c>
      <c r="AA19" s="135">
        <f t="shared" si="18"/>
        <v>12</v>
      </c>
      <c r="AB19" s="135">
        <f t="shared" si="18"/>
        <v>16</v>
      </c>
      <c r="AC19" s="135">
        <f t="shared" si="18"/>
        <v>0</v>
      </c>
      <c r="AD19" s="135">
        <f t="shared" si="18"/>
        <v>2</v>
      </c>
      <c r="AE19" s="135">
        <f t="shared" si="18"/>
        <v>2</v>
      </c>
      <c r="AF19" s="135">
        <f t="shared" si="18"/>
        <v>0</v>
      </c>
      <c r="AG19" s="135">
        <f t="shared" si="18"/>
        <v>16</v>
      </c>
      <c r="AH19" s="135">
        <f t="shared" si="18"/>
        <v>15</v>
      </c>
      <c r="AI19" s="135">
        <f t="shared" si="18"/>
        <v>14</v>
      </c>
      <c r="AJ19" s="135">
        <f t="shared" si="18"/>
        <v>17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865</v>
      </c>
      <c r="AZ19" s="135">
        <f>SUBTOTAL(9,AZ9:AZ18)</f>
        <v>449</v>
      </c>
      <c r="BA19" s="135">
        <f>SUBTOTAL(9,BA9:BA18)</f>
        <v>382</v>
      </c>
      <c r="BB19" s="135">
        <f>SUBTOTAL(9,BB9:BB18)</f>
        <v>939</v>
      </c>
      <c r="BC19" s="136">
        <f>SUBTOTAL(9,BC9:BC18)</f>
        <v>89</v>
      </c>
      <c r="BD19" s="217">
        <f>IF(ISNUMBER(BA19/AZ19),BA19/AZ19," - ")</f>
        <v>0.8507795100222717</v>
      </c>
      <c r="BE19" s="214">
        <f>IF(ISNUMBER(BB19/BA19),BB19/BA19, " - ")</f>
        <v>2.4581151832460733</v>
      </c>
      <c r="BF19" s="214">
        <f>IF(ISNUMBER(BC19/BA19),BC19/BA19, " - ")</f>
        <v>0.23298429319371727</v>
      </c>
      <c r="BG19" s="136">
        <f>IF(ISNUMBER((AY19+AZ19)/BA19),(AY19+AZ19)/BA19," - ")</f>
        <v>3.4397905759162302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JcIMFTzMAjhuOT0m877o+zcPHd52F3AMDoXa2cYGXq3Uruugs4sLC25gcILJLWuBqv2Ty6ODVTJRAsPeSKorQ==" saltValue="jUQIaEP/Yd3ySmrBj90Ft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b3PBlb69qkshlUOokqs/K2rOk5jnQo2XkpTv+Y5LhsWyHiCRFfytHxAeWmxB5YXo7ggqULUO15xK9saTlXscg==" saltValue="O/Vf+6fRFt3vNV9fBTJf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PADRON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11</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29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1074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60</v>
      </c>
      <c r="BD12" s="619">
        <f>IF(ISNUMBER(Datos!N12),Datos!N12," - ")</f>
        <v>64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0.87254901960784315</v>
      </c>
      <c r="BH12" s="669">
        <f>IF(ISNUMBER(((IF(J_V="SI",Datos!L12/Datos!K12,(Datos!L12+Datos!AB12)/(Datos!K12+Datos!AA12)))*11)/factor_trimestre),((IF(J_V="SI",Datos!L12/Datos!K12,(Datos!L12+Datos!AB12)/(Datos!K12+Datos!AA12)))*11)/factor_trimestre," - ")</f>
        <v>7.0337078651685383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8.4507042253521118E-3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29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v>
      </c>
      <c r="AD13" s="1045">
        <f t="shared" si="1"/>
        <v>0</v>
      </c>
      <c r="AE13" s="1045">
        <f t="shared" si="1"/>
        <v>0</v>
      </c>
      <c r="AF13" s="1045">
        <f t="shared" si="1"/>
        <v>11</v>
      </c>
      <c r="AG13" s="1045">
        <f t="shared" si="1"/>
        <v>0</v>
      </c>
      <c r="AH13" s="1045">
        <f t="shared" si="1"/>
        <v>16</v>
      </c>
      <c r="AI13" s="1045">
        <f t="shared" si="1"/>
        <v>0</v>
      </c>
      <c r="AJ13" s="1045">
        <f t="shared" si="1"/>
        <v>0</v>
      </c>
      <c r="AK13" s="1045">
        <f t="shared" si="1"/>
        <v>0</v>
      </c>
      <c r="AL13" s="1045">
        <f t="shared" si="1"/>
        <v>0</v>
      </c>
      <c r="AM13" s="1045">
        <f t="shared" si="1"/>
        <v>1075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60</v>
      </c>
      <c r="BD13" s="1045">
        <f t="shared" si="1"/>
        <v>64</v>
      </c>
      <c r="BE13" s="1045">
        <f t="shared" si="1"/>
        <v>0</v>
      </c>
      <c r="BF13" s="1045">
        <f t="shared" si="1"/>
        <v>0</v>
      </c>
      <c r="BG13" s="1045">
        <f>IF(ISNUMBER(Datos!K13/Datos!J13),Datos!K13/Datos!J13," - ")</f>
        <v>0.88770053475935828</v>
      </c>
      <c r="BH13" s="1049">
        <f>IF(ISNUMBER(((Datos!L13/Datos!K13)*11)/factor_trimestre),((Datos!L13/Datos!K13)*11)/factor_trimestre," - ")</f>
        <v>7.4819277108433733</v>
      </c>
      <c r="BI13" s="1045">
        <f>IF(ISNUMBER('Resol  Asuntos'!D13/NºAsuntos!G13),'Resol  Asuntos'!D13/NºAsuntos!G13," - ")</f>
        <v>0.33707865168539325</v>
      </c>
      <c r="BJ13" s="1045" t="str">
        <f>IF(ISNUMBER(Datos!CI13/Datos!CJ13),Datos!CI13/Datos!CJ13," - ")</f>
        <v xml:space="preserve"> - </v>
      </c>
      <c r="BK13" s="1045">
        <f>SUBTOTAL(9,BK8:BK12)</f>
        <v>0</v>
      </c>
      <c r="BL13" s="1045">
        <f>IF(ISNUMBER((I13-AB13+L13)/(F13)),(I13-AB13+L13)/(F13)," - ")</f>
        <v>0</v>
      </c>
      <c r="BM13" s="1050">
        <f>SUBTOTAL(9,BM9:BM12)</f>
        <v>8.4507042253521118E-3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468</v>
      </c>
      <c r="G16" s="650">
        <f>IF(ISNUMBER(IF(D_I="SI",Datos!I16,Datos!I16+Datos!AC16)),IF(D_I="SI",Datos!I16,Datos!I16+Datos!AC16)," - ")</f>
        <v>460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140</v>
      </c>
      <c r="AC16" s="230">
        <f>IF(ISNUMBER(Datos!Q16),Datos!Q16," - ")</f>
        <v>13</v>
      </c>
      <c r="AD16" s="343"/>
      <c r="AE16" s="515"/>
      <c r="AF16" s="648">
        <f>IF(ISNUMBER(IF(D_I="SI",Datos!L16,Datos!L16+Datos!AF16)),IF(D_I="SI",Datos!L16,Datos!L16+Datos!AF16)," - ")</f>
        <v>548</v>
      </c>
      <c r="AG16" s="343"/>
      <c r="AH16" s="343"/>
      <c r="AI16" s="343"/>
      <c r="AJ16" s="503"/>
      <c r="AK16" s="343"/>
      <c r="AL16" s="499"/>
      <c r="AM16" s="344">
        <f>IF(ISNUMBER(Datos!R16),Datos!R16," - ")</f>
        <v>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0.63636363636363635</v>
      </c>
      <c r="BH16" s="669">
        <f>IF(ISNUMBER(((IF(D_I="SI",Datos!L16/Datos!K16,(Datos!L16+Datos!AF16)/(Datos!K16+Datos!AE16)))*11)/factor_trimestre),((IF(D_I="SI",Datos!L16/Datos!K16,(Datos!L16+Datos!AF16)/(Datos!K16+Datos!AE16)))*11)/factor_trimestre," - ")</f>
        <v>7.8285714285714283</v>
      </c>
      <c r="BI16" s="247">
        <f>IF(ISNUMBER('Resol  Asuntos'!D16/NºAsuntos!G16),'Resol  Asuntos'!D16/NºAsuntos!G16," - ")</f>
        <v>0.25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v>
      </c>
      <c r="AC17" s="501">
        <f>IF(ISNUMBER(Datos!Q17),Datos!Q17," - ")</f>
        <v>0</v>
      </c>
      <c r="AD17" s="503"/>
      <c r="AE17" s="515"/>
      <c r="AF17" s="505">
        <f>IF(ISNUMBER(Datos!L17),Datos!L17,"-")</f>
        <v>24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0.77272727272727271</v>
      </c>
      <c r="BH17" s="669">
        <f>IF(ISNUMBER(((IF(D_I="SI",Datos!L17/Datos!K17,(Datos!L17+Datos!AF17)/(Datos!K17+Datos!AE17)))*11)/factor_trimestre),((IF(D_I="SI",Datos!L17/Datos!K17,(Datos!L17+Datos!AF17)/(Datos!K17+Datos!AE17)))*11)/factor_trimestre," - ")</f>
        <v>2.8235294117647061</v>
      </c>
      <c r="BI17" s="668">
        <f>IF(ISNUMBER('Resol  Asuntos'!D17/NºAsuntos!G17),'Resol  Asuntos'!D17/NºAsuntos!G17," - ")</f>
        <v>5.8823529411764705E-2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468</v>
      </c>
      <c r="G18" s="1044">
        <f>SUBTOTAL(9,G15:G17)</f>
        <v>479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157</v>
      </c>
      <c r="AC18" s="1045">
        <f t="shared" si="4"/>
        <v>13</v>
      </c>
      <c r="AD18" s="1045">
        <f t="shared" si="4"/>
        <v>0</v>
      </c>
      <c r="AE18" s="1045">
        <f t="shared" si="4"/>
        <v>0</v>
      </c>
      <c r="AF18" s="1045">
        <f t="shared" si="4"/>
        <v>572</v>
      </c>
      <c r="AG18" s="1045">
        <f t="shared" si="4"/>
        <v>0</v>
      </c>
      <c r="AH18" s="1045">
        <f t="shared" si="4"/>
        <v>0</v>
      </c>
      <c r="AI18" s="1045">
        <f t="shared" si="4"/>
        <v>0</v>
      </c>
      <c r="AJ18" s="1045">
        <f t="shared" si="4"/>
        <v>0</v>
      </c>
      <c r="AK18" s="1045">
        <f t="shared" si="4"/>
        <v>0</v>
      </c>
      <c r="AL18" s="1045">
        <f t="shared" si="4"/>
        <v>0</v>
      </c>
      <c r="AM18" s="1045">
        <f t="shared" si="4"/>
        <v>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v>
      </c>
      <c r="BD18" s="1045">
        <f t="shared" si="4"/>
        <v>76</v>
      </c>
      <c r="BE18" s="1045">
        <f t="shared" si="4"/>
        <v>0</v>
      </c>
      <c r="BF18" s="1045">
        <f t="shared" si="4"/>
        <v>0</v>
      </c>
      <c r="BG18" s="1045">
        <f>IF(ISNUMBER(Datos!K18/Datos!J18),Datos!K18/Datos!J18," - ")</f>
        <v>0.64876033057851235</v>
      </c>
      <c r="BH18" s="1049">
        <f>IF(ISNUMBER(((Datos!L18/Datos!K18)*11)/factor_trimestre),((Datos!L18/Datos!K18)*11)/factor_trimestre," - ")</f>
        <v>7.2866242038216562</v>
      </c>
      <c r="BI18" s="1045">
        <f>SUBTOTAL(9,BI15:BI17)</f>
        <v>0.30882352941176472</v>
      </c>
      <c r="BJ18" s="1045">
        <f>SUBTOTAL(9,BJ15:BJ17)</f>
        <v>0</v>
      </c>
      <c r="BK18" s="1045">
        <f>SUBTOTAL(9,BK15:BK17)</f>
        <v>0</v>
      </c>
      <c r="BL18" s="1045">
        <f>IF(ISNUMBER((I18-AB18+L18)/(F18)),(I18-AB18+L18)/(F18)," - ")</f>
        <v>-0.33547008547008544</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478</v>
      </c>
      <c r="G19" s="966">
        <f t="shared" si="6"/>
        <v>489</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42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157</v>
      </c>
      <c r="AC19" s="967">
        <f t="shared" si="7"/>
        <v>33</v>
      </c>
      <c r="AD19" s="967">
        <f t="shared" si="7"/>
        <v>0</v>
      </c>
      <c r="AE19" s="967">
        <f t="shared" si="7"/>
        <v>0</v>
      </c>
      <c r="AF19" s="974">
        <f t="shared" si="7"/>
        <v>583</v>
      </c>
      <c r="AG19" s="974">
        <f t="shared" si="7"/>
        <v>0</v>
      </c>
      <c r="AH19" s="974">
        <f t="shared" si="7"/>
        <v>16</v>
      </c>
      <c r="AI19" s="974">
        <f t="shared" si="7"/>
        <v>0</v>
      </c>
      <c r="AJ19" s="967">
        <f t="shared" si="7"/>
        <v>0</v>
      </c>
      <c r="AK19" s="974">
        <f t="shared" si="7"/>
        <v>0</v>
      </c>
      <c r="AL19" s="974">
        <f t="shared" si="7"/>
        <v>0</v>
      </c>
      <c r="AM19" s="974">
        <f t="shared" si="7"/>
        <v>1130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96</v>
      </c>
      <c r="BD19" s="966">
        <f t="shared" si="7"/>
        <v>140</v>
      </c>
      <c r="BE19" s="966">
        <f t="shared" si="7"/>
        <v>0</v>
      </c>
      <c r="BF19" s="976">
        <f t="shared" si="7"/>
        <v>0</v>
      </c>
      <c r="BG19" s="1061">
        <f>IF(ISNUMBER(Datos!K19/Datos!J19),Datos!K19/Datos!J19," - ")</f>
        <v>0.75291375291375295</v>
      </c>
      <c r="BH19" s="1061">
        <f>IF(ISNUMBER(((Datos!L19/Datos!K19)*11)/factor_trimestre),((Datos!L19/Datos!K19)*11)/factor_trimestre," - ")</f>
        <v>7.3869969040247687</v>
      </c>
      <c r="BI19" s="959">
        <f>IF(ISNUMBER(Datos!J19/Datos!I19),Datos!J19/Datos!I19," - ")</f>
        <v>0.39759036144578314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-0.32845188284518828</v>
      </c>
      <c r="BM19" s="1035">
        <f>IF(ISNUMBER((Datos!P19-Datos!Q19+R19)/(Datos!R19-Datos!P19+Datos!Q19-R19)),(Datos!P19-Datos!Q19+R19)/(Datos!R19-Datos!P19+Datos!Q19-R19)," - ")</f>
        <v>8.0285459411239962E-3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264.42642328884858</v>
      </c>
      <c r="G21" s="600">
        <f>IF(ISNUMBER(STDEV(G8:G18)),STDEV(G8:G18),"-")</f>
        <v>250.1525534548868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78.769918115991459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26.75070092539633</v>
      </c>
      <c r="BD21" s="599"/>
      <c r="BE21" s="599">
        <f>IF(ISNUMBER(STDEV(BE8:BE18)),STDEV(BE8:BE18),"-")</f>
        <v>0</v>
      </c>
      <c r="BF21" s="604">
        <f>IF(ISNUMBER(STDEV(BF8:BF18)),STDEV(BF8:BF18),"-")</f>
        <v>0</v>
      </c>
      <c r="BG21" s="914">
        <f>IF(ISNUMBER(STDEV(BG8:BG18)),STDEV(BG8:BG18),"-")</f>
        <v>0.32944230684445019</v>
      </c>
      <c r="BH21" s="918">
        <f>IF(ISNUMBER(STDEV(BH8:BH18)),STDEV(BH8:BH18),"-")</f>
        <v>2.0705630387095275</v>
      </c>
      <c r="BI21" s="253">
        <f>IF(ISNUMBER(STDEV(BI8:BI18)),STDEV(BI8:BI18),"-")</f>
        <v>0.12527157402505801</v>
      </c>
      <c r="BJ21" s="234" t="str">
        <f>IF(ISNUMBER(BL21/BM21),BL21/BM21," - ")</f>
        <v xml:space="preserve"> - </v>
      </c>
      <c r="BK21" s="626"/>
      <c r="BL21" s="607">
        <f>IF(ISNUMBER(STDEV(BL8:BL18)),STDEV(BL8:BL18),"-")</f>
        <v>0.2372131723211281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ltzYKc4tOMGoNgQF/fzhsPk79JOj7hk3cDOg7dEKs68XvaJ1gmx6gZCTGnW8cfNhz6glPqQE/2yJmibnraDtA==" saltValue="FVn8Mpmg4QM+IZU0yzPy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PADRON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11</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1074</v>
      </c>
      <c r="AF12" s="619" t="str">
        <f>IF(ISNUMBER(Datos!BV12),Datos!BV12," - ")</f>
        <v xml:space="preserve"> - </v>
      </c>
      <c r="AG12" s="506" t="str">
        <f>IF(ISNUMBER(Datos!DV12),Datos!DV12," - ")</f>
        <v xml:space="preserve"> - </v>
      </c>
      <c r="AH12" s="507"/>
      <c r="AI12" s="508"/>
      <c r="AJ12" s="506">
        <f>IF(ISNUMBER(Datos!M12),Datos!M12," - ")</f>
        <v>60</v>
      </c>
      <c r="AK12" s="619">
        <f>IF(ISNUMBER(Datos!N12),Datos!N12," - ")</f>
        <v>64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7.0337078651685383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8.4507042253521118E-3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29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v>
      </c>
      <c r="AA13" s="1046">
        <f t="shared" si="2"/>
        <v>11</v>
      </c>
      <c r="AB13" s="1046">
        <f t="shared" si="2"/>
        <v>0</v>
      </c>
      <c r="AC13" s="1046">
        <f t="shared" si="2"/>
        <v>0</v>
      </c>
      <c r="AD13" s="1046">
        <f t="shared" si="2"/>
        <v>0</v>
      </c>
      <c r="AE13" s="1046">
        <f t="shared" si="2"/>
        <v>1075</v>
      </c>
      <c r="AF13" s="1054">
        <f t="shared" si="2"/>
        <v>0</v>
      </c>
      <c r="AG13" s="1054">
        <f t="shared" si="2"/>
        <v>0</v>
      </c>
      <c r="AH13" s="1054">
        <f t="shared" si="2"/>
        <v>0</v>
      </c>
      <c r="AI13" s="1054">
        <f t="shared" si="2"/>
        <v>0</v>
      </c>
      <c r="AJ13" s="1054">
        <f t="shared" si="2"/>
        <v>60</v>
      </c>
      <c r="AK13" s="1054">
        <f t="shared" si="2"/>
        <v>64</v>
      </c>
      <c r="AL13" s="1054">
        <f t="shared" si="2"/>
        <v>0</v>
      </c>
      <c r="AM13" s="1054">
        <f t="shared" si="2"/>
        <v>0</v>
      </c>
      <c r="AN13" s="1054">
        <f t="shared" si="2"/>
        <v>0</v>
      </c>
      <c r="AO13" s="1050">
        <f>IF(ISNUMBER(((NºAsuntos!I13/NºAsuntos!G13)*11)/factor_trimestre),((NºAsuntos!I13/NºAsuntos!G13)*11)/factor_trimestre," - ")</f>
        <v>7.1573033707865168</v>
      </c>
      <c r="AP13" s="1056" t="str">
        <f>IF(ISNUMBER(Datos!CI13/Datos!CJ13),Datos!CI13/Datos!CJ13," - ")</f>
        <v xml:space="preserve"> - </v>
      </c>
      <c r="AQ13" s="1074">
        <f t="shared" ref="AQ13:AV13" si="3">SUBTOTAL(9,AQ9:AQ12)</f>
        <v>0</v>
      </c>
      <c r="AR13" s="1074">
        <f t="shared" si="3"/>
        <v>8.4507042253521118E-3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468</v>
      </c>
      <c r="G16" s="506">
        <f>IF(ISNUMBER(IF(D_I="SI",Datos!I16,Datos!I16+Datos!AC16)),IF(D_I="SI",Datos!I16,Datos!I16+Datos!AC16)," - ")</f>
        <v>460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140</v>
      </c>
      <c r="Z16" s="703">
        <f>IF(ISNUMBER(Datos!Q16),Datos!Q16," - ")</f>
        <v>13</v>
      </c>
      <c r="AA16" s="505">
        <f>IF(ISNUMBER(IF(D_I="SI",Datos!L16,Datos!L16+Datos!AF16)),IF(D_I="SI",Datos!L16,Datos!L16+Datos!AF16)," - ")</f>
        <v>548</v>
      </c>
      <c r="AB16" s="503"/>
      <c r="AC16" s="503"/>
      <c r="AD16" s="516"/>
      <c r="AE16" s="516">
        <f>IF(ISNUMBER(Datos!R16),Datos!R16," - ")</f>
        <v>55</v>
      </c>
      <c r="AF16" s="619" t="str">
        <f>IF(ISNUMBER(Datos!BV16),Datos!BV16," - ")</f>
        <v xml:space="preserve"> - </v>
      </c>
      <c r="AG16" s="506"/>
      <c r="AH16" s="507"/>
      <c r="AI16" s="508"/>
      <c r="AJ16" s="506">
        <f>IF(ISNUMBER(Datos!M16),Datos!M16," - ")</f>
        <v>35</v>
      </c>
      <c r="AK16" s="619">
        <f>IF(ISNUMBER(Datos!N16),Datos!N16," - ")</f>
        <v>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7.8285714285714283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v>
      </c>
      <c r="Z17" s="703">
        <f>IF(ISNUMBER(Datos!Q17),Datos!Q17," - ")</f>
        <v>0</v>
      </c>
      <c r="AA17" s="505">
        <f>IF(ISNUMBER(Datos!L17),Datos!L17,"-")</f>
        <v>24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2.8235294117647061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468</v>
      </c>
      <c r="G18" s="1044">
        <f>SUBTOTAL(9,G15:G17)</f>
        <v>479</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157</v>
      </c>
      <c r="Z18" s="1078">
        <f t="shared" si="5"/>
        <v>13</v>
      </c>
      <c r="AA18" s="1078">
        <f t="shared" si="5"/>
        <v>572</v>
      </c>
      <c r="AB18" s="1078">
        <f t="shared" si="5"/>
        <v>0</v>
      </c>
      <c r="AC18" s="1078">
        <f t="shared" si="5"/>
        <v>0</v>
      </c>
      <c r="AD18" s="1078">
        <f t="shared" si="5"/>
        <v>0</v>
      </c>
      <c r="AE18" s="1078">
        <f t="shared" si="5"/>
        <v>55</v>
      </c>
      <c r="AF18" s="1078">
        <f t="shared" si="5"/>
        <v>0</v>
      </c>
      <c r="AG18" s="1078">
        <f t="shared" si="5"/>
        <v>0</v>
      </c>
      <c r="AH18" s="1078">
        <f t="shared" si="5"/>
        <v>0</v>
      </c>
      <c r="AI18" s="1078">
        <f t="shared" si="5"/>
        <v>0</v>
      </c>
      <c r="AJ18" s="1078">
        <f t="shared" si="5"/>
        <v>36</v>
      </c>
      <c r="AK18" s="1078">
        <f t="shared" si="5"/>
        <v>76</v>
      </c>
      <c r="AL18" s="1078">
        <f t="shared" si="5"/>
        <v>0</v>
      </c>
      <c r="AM18" s="1078">
        <f t="shared" si="5"/>
        <v>0</v>
      </c>
      <c r="AN18" s="1078">
        <f t="shared" si="5"/>
        <v>0</v>
      </c>
      <c r="AO18" s="1080">
        <f>IF(ISNUMBER(((NºAsuntos!I18/NºAsuntos!G18)*11)/factor_trimestre),((NºAsuntos!I18/NºAsuntos!G18)*11)/factor_trimestre," - ")</f>
        <v>7.2866242038216562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478</v>
      </c>
      <c r="G19" s="966">
        <f t="shared" si="7"/>
        <v>489</v>
      </c>
      <c r="H19" s="967">
        <f t="shared" si="7"/>
        <v>0</v>
      </c>
      <c r="I19" s="966">
        <f t="shared" si="7"/>
        <v>0</v>
      </c>
      <c r="J19" s="968">
        <f t="shared" si="7"/>
        <v>0</v>
      </c>
      <c r="K19" s="966">
        <f t="shared" si="7"/>
        <v>0</v>
      </c>
      <c r="L19" s="969">
        <f t="shared" si="7"/>
        <v>0</v>
      </c>
      <c r="M19" s="966">
        <f t="shared" si="7"/>
        <v>0</v>
      </c>
      <c r="N19" s="967">
        <f t="shared" si="7"/>
        <v>42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157</v>
      </c>
      <c r="Z19" s="973">
        <f t="shared" si="8"/>
        <v>33</v>
      </c>
      <c r="AA19" s="974">
        <f t="shared" si="8"/>
        <v>583</v>
      </c>
      <c r="AB19" s="974">
        <f t="shared" si="8"/>
        <v>0</v>
      </c>
      <c r="AC19" s="974">
        <f t="shared" si="8"/>
        <v>0</v>
      </c>
      <c r="AD19" s="975">
        <f t="shared" si="8"/>
        <v>0</v>
      </c>
      <c r="AE19" s="975">
        <f t="shared" si="8"/>
        <v>1130</v>
      </c>
      <c r="AF19" s="976">
        <f t="shared" si="8"/>
        <v>0</v>
      </c>
      <c r="AG19" s="977">
        <f t="shared" si="8"/>
        <v>0</v>
      </c>
      <c r="AH19" s="978">
        <f t="shared" si="8"/>
        <v>0</v>
      </c>
      <c r="AI19" s="976">
        <f t="shared" si="8"/>
        <v>0</v>
      </c>
      <c r="AJ19" s="966">
        <f t="shared" si="8"/>
        <v>96</v>
      </c>
      <c r="AK19" s="966">
        <f t="shared" si="8"/>
        <v>140</v>
      </c>
      <c r="AL19" s="966">
        <f t="shared" si="8"/>
        <v>0</v>
      </c>
      <c r="AM19" s="979">
        <f t="shared" si="8"/>
        <v>0</v>
      </c>
      <c r="AN19" s="969">
        <f>IF(ISNUMBER(Datos!K19/Datos!J19),Datos!K19/Datos!J19," - ")</f>
        <v>0.75291375291375295</v>
      </c>
      <c r="AO19" s="969">
        <f>IF(ISNUMBER(FIND("06",Criterios!A8,1)),(IF(ISNUMBER(((Datos!R19/Datos!Q19)*11)/factor_trimestre),((Datos!R19/Datos!Q19)*11)/factor_trimestre," - ")),(IF(ISNUMBER(((Datos!L19/Datos!K19)*11)/factor_trimestre),((Datos!L19/Datos!K19)*11)/factor_trimestre," - ")))</f>
        <v>7.3869969040247687</v>
      </c>
      <c r="AP19" s="980" t="str">
        <f>IF(ISNUMBER(Datos!CI19/Datos!CJ19),Datos!CI19/Datos!CJ19," - ")</f>
        <v xml:space="preserve"> - </v>
      </c>
      <c r="AQ19" s="980">
        <f>IF(OR(ISNUMBER(FIND("01",Criterios!A8,1)),ISNUMBER(FIND("02",Criterios!A8,1)),ISNUMBER(FIND("03",Criterios!A8,1)),ISNUMBER(FIND("04",Criterios!A8,1))),(J19-Y19+K19)/(F19-K19),(I19-Y19+K19)/(F19-K19))</f>
        <v>-0.32845188284518828</v>
      </c>
      <c r="AR19" s="980">
        <f>IF(ISNUMBER((Datos!P19-Datos!Q19+O19)/(Datos!R19-Datos!P19+Datos!Q19-O19)),(Datos!P19-Datos!Q19+O19)/(Datos!R19-Datos!P19+Datos!Q19-O19)," - ")</f>
        <v>8.0285459411239962E-3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264.42642328884858</v>
      </c>
      <c r="G21" s="600">
        <f>IF(ISNUMBER(STDEV(G8:G18)),STDEV(G8:G18),"-")</f>
        <v>250.1525534548868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26.75070092539633</v>
      </c>
      <c r="AK21" s="256"/>
      <c r="AL21" s="256">
        <f>IF(ISNUMBER(STDEV(AL8:AL18)),STDEV(AL8:AL18),"-")</f>
        <v>0</v>
      </c>
      <c r="AM21" s="258">
        <f>IF(ISNUMBER(STDEV(AM8:AM18)),STDEV(AM8:AM18),"-")</f>
        <v>0</v>
      </c>
      <c r="AN21" s="586">
        <f>IF(ISNUMBER(STDEV(AN8:AN18)),STDEV(AN8:AN18),"-")</f>
        <v>0</v>
      </c>
      <c r="AO21" s="587">
        <f>IF(ISNUMBER(STDEV(AO8:AO18)),STDEV(AO8:AO18),"-")</f>
        <v>2.0365281993597959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yLjBKiqeRL2lL+oM1Zn8FjiVuzJGObzT4A4XHOlxE0mRNXA5FukZVC7ME5IG70H4lDnWNUUzNtp41VGc4yqu6A==" saltValue="85w/ys4aPg3jBs/b7/PN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9OZwIQ1DRrn+NakkvAA/5CRHAKpWK//4abidQieAJyN9bWbB64LUxmMnOR1TjkH3uwpXXp4b2FoyoPdvUrp8w==" saltValue="qFjap+c8d4bWk6vKQSN7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xLqW1poPAHbbuX+qJ3gNt+E6nooO0u4oHuiq3VYiWAIcURtjWusZc4BK48q85oW2Fv7NZWOwK/lSdGttz95KQ==" saltValue="vgqX1lO82w4pmm15T5Yy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PADRON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0.33707865168539325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0.23835060039995984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6Ou+NczxwyBGl7BP62rfu8kTr6o0ElbxP2bDkwWaOD1nDfDtQjZPugHvnFxfVmKe8ThX6iw5YkQbh1M1hqU3NQ==" saltValue="vYwNWOMjymUWuiPzE+B7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Xx/bG6Ye1eW4lKf/0fyI/m32yOkJHyF4i533Dk8DqKQNEyWDJDnBnKGMP1JGsstO3uW95S7DbkkOvJH66TzA==" saltValue="UOXn7v+fE7fJL8cFpSON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PADRON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1</v>
      </c>
      <c r="F10" s="415">
        <f>IF(ISNUMBER(E10/B10),E10/B10," - ")</f>
        <v>1</v>
      </c>
      <c r="G10" s="414">
        <f>IF(ISNUMBER(Datos!K10),Datos!K10," - ")</f>
        <v>0</v>
      </c>
      <c r="H10" s="415">
        <f>IF(ISNUMBER(G10/B10),G10/B10," - ")</f>
        <v>0</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600</v>
      </c>
      <c r="D12" s="415">
        <f>IF(ISNUMBER(C12/Datos!BH12),C12/Datos!BH12," - ")</f>
        <v>300</v>
      </c>
      <c r="E12" s="414">
        <f>IF(ISNUMBER(IF(J_V="SI",Datos!J12,Datos!J12+Datos!Z12)),IF(J_V="SI",Datos!J12,Datos!J12+Datos!Z12)," - ")</f>
        <v>204</v>
      </c>
      <c r="F12" s="415">
        <f>IF(ISNUMBER(E12/B12),E12/B12," - ")</f>
        <v>102</v>
      </c>
      <c r="G12" s="414">
        <f>IF(ISNUMBER(IF(J_V="SI",Datos!K12,Datos!K12+Datos!AA12)),IF(J_V="SI",Datos!K12,Datos!K12+Datos!AA12)," - ")</f>
        <v>178</v>
      </c>
      <c r="H12" s="415">
        <f>IF(ISNUMBER(G12/B12),G12/B12," - ")</f>
        <v>89</v>
      </c>
      <c r="I12" s="414">
        <f>IF(ISNUMBER(IF(J_V="SI",Datos!L12,Datos!L12+Datos!AB12)),IF(J_V="SI",Datos!L12,Datos!L12+Datos!AB12)," - ")</f>
        <v>626</v>
      </c>
      <c r="J12" s="415">
        <f>IF(ISNUMBER(I12/B12),I12/B12," - ")</f>
        <v>313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610</v>
      </c>
      <c r="D13" s="996" t="str">
        <f>IF(ISNUMBER(C13/Datos!BI13),C13/Datos!BI13," - ")</f>
        <v xml:space="preserve"> - </v>
      </c>
      <c r="E13" s="995">
        <f>SUBTOTAL(9,E8:E12)</f>
        <v>205</v>
      </c>
      <c r="F13" s="996">
        <f>IF(ISNUMBER(E13/B13),E13/B13," - ")</f>
        <v>102.5</v>
      </c>
      <c r="G13" s="995">
        <f>SUBTOTAL(9,G8:G12)</f>
        <v>178</v>
      </c>
      <c r="H13" s="996">
        <f>IF(ISNUMBER(G13/B13),G13/B13," - ")</f>
        <v>89</v>
      </c>
      <c r="I13" s="995">
        <f>SUBTOTAL(9,I8:I12)</f>
        <v>637</v>
      </c>
      <c r="J13" s="996">
        <f>IF(ISNUMBER(I13/B13),I13/B13," - ")</f>
        <v>318.5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460</v>
      </c>
      <c r="D16" s="415">
        <f>IF(ISNUMBER(C16/Datos!BH16),C16/Datos!BH16," - ")</f>
        <v>230</v>
      </c>
      <c r="E16" s="414">
        <f>IF(ISNUMBER(IF(D_I="SI",Datos!J16,Datos!J16+Datos!AD16)),IF(D_I="SI",Datos!J16,Datos!J16+Datos!AD16)," - ")</f>
        <v>220</v>
      </c>
      <c r="F16" s="415">
        <f>IF(ISNUMBER(E16/B16),E16/B16," - ")</f>
        <v>110</v>
      </c>
      <c r="G16" s="414">
        <f>IF(ISNUMBER(IF(D_I="SI",Datos!K16,Datos!K16+Datos!AE16)),IF(D_I="SI",Datos!K16,Datos!K16+Datos!AE16)," - ")</f>
        <v>140</v>
      </c>
      <c r="H16" s="415">
        <f>IF(ISNUMBER(G16/B16),G16/B16," - ")</f>
        <v>70</v>
      </c>
      <c r="I16" s="414">
        <f>IF(ISNUMBER(IF(D_I="SI",Datos!L16,Datos!L16+Datos!AF16)),IF(D_I="SI",Datos!L16,Datos!L16+Datos!AF16)," - ")</f>
        <v>548</v>
      </c>
      <c r="J16" s="415">
        <f>IF(ISNUMBER(I16/B16),I16/B16," - ")</f>
        <v>274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v>
      </c>
      <c r="D17" s="415">
        <f>IF(ISNUMBER(C17/Datos!BH17),C17/Datos!BH17," - ")</f>
        <v>19</v>
      </c>
      <c r="E17" s="414">
        <f>IF(ISNUMBER(IF(D_I="SI",Datos!J17,Datos!J17+Datos!AD17)),IF(D_I="SI",Datos!J17,Datos!J17+Datos!AD17)," - ")</f>
        <v>22</v>
      </c>
      <c r="F17" s="415">
        <f>IF(ISNUMBER(E17/B17),E17/B17," - ")</f>
        <v>22</v>
      </c>
      <c r="G17" s="414">
        <f>IF(ISNUMBER(IF(D_I="SI",Datos!K17,Datos!K17+Datos!AE17)),IF(D_I="SI",Datos!K17,Datos!K17+Datos!AE17)," - ")</f>
        <v>17</v>
      </c>
      <c r="H17" s="415">
        <f>IF(ISNUMBER(G17/B17),G17/B17," - ")</f>
        <v>17</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479</v>
      </c>
      <c r="D18" s="996" t="str">
        <f>IF(ISNUMBER(C18/Datos!BI18),C18/Datos!BI18," - ")</f>
        <v xml:space="preserve"> - </v>
      </c>
      <c r="E18" s="995">
        <f>SUBTOTAL(9,E14:E17)</f>
        <v>242</v>
      </c>
      <c r="F18" s="996">
        <f>IF(ISNUMBER(E18/B18),E18/B18," - ")</f>
        <v>121</v>
      </c>
      <c r="G18" s="995">
        <f>SUBTOTAL(9,G14:G17)</f>
        <v>157</v>
      </c>
      <c r="H18" s="996">
        <f>IF(ISNUMBER(G18/B18),G18/B18," - ")</f>
        <v>78.5</v>
      </c>
      <c r="I18" s="995">
        <f>SUBTOTAL(9,I14:I17)</f>
        <v>572</v>
      </c>
      <c r="J18" s="996">
        <f>IF(ISNUMBER(I18/B18),I18/B18," - ")</f>
        <v>286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1089</v>
      </c>
      <c r="D19" s="941" t="str">
        <f>IF(ISNUMBER(C19/Datos!BI19),C19/Datos!BI19," - ")</f>
        <v xml:space="preserve"> - </v>
      </c>
      <c r="E19" s="940">
        <f>SUBTOTAL(9,E9:E18)</f>
        <v>447</v>
      </c>
      <c r="F19" s="941">
        <f>IF(ISNUMBER(E19/B19),E19/B19," - ")</f>
        <v>223.5</v>
      </c>
      <c r="G19" s="940">
        <f>SUBTOTAL(9,G9:G18)</f>
        <v>335</v>
      </c>
      <c r="H19" s="941">
        <f>IF(ISNUMBER(G19/B19),G19/B19," - ")</f>
        <v>167.5</v>
      </c>
      <c r="I19" s="940">
        <f>SUBTOTAL(9,I9:I18)</f>
        <v>1209</v>
      </c>
      <c r="J19" s="941">
        <f>IF(ISNUMBER(I19/B19),I19/B19," - ")</f>
        <v>604.5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s9DSX3Bs4Rqe81uX/NOMP+ajIqqjQWBIfl3+NRbMFZf5QzmFpzlYF73kHCGsmfs3wf/pVwaUvrwn9XRpsGrkw==" saltValue="3Zb6AOibMlmmrfXHFn4w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PADRON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1074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60</v>
      </c>
      <c r="AM12" s="810">
        <f>IF(ISNUMBER(Datos!N12+DatosP!N16),Datos!N12+DatosP!N16," - ")</f>
        <v>64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7.0337078651685383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8.4507042253521118E-3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29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v>
      </c>
      <c r="AE13" s="1085">
        <f t="shared" si="1"/>
        <v>0</v>
      </c>
      <c r="AF13" s="1085">
        <f t="shared" si="1"/>
        <v>11</v>
      </c>
      <c r="AG13" s="1085">
        <f t="shared" si="1"/>
        <v>0</v>
      </c>
      <c r="AH13" s="1085">
        <f t="shared" si="1"/>
        <v>1074</v>
      </c>
      <c r="AI13" s="1085">
        <f t="shared" si="1"/>
        <v>0</v>
      </c>
      <c r="AJ13" s="1085">
        <f t="shared" si="1"/>
        <v>0</v>
      </c>
      <c r="AK13" s="1085">
        <f t="shared" si="1"/>
        <v>0</v>
      </c>
      <c r="AL13" s="1085">
        <f t="shared" si="1"/>
        <v>60</v>
      </c>
      <c r="AM13" s="1085">
        <f t="shared" si="1"/>
        <v>64</v>
      </c>
      <c r="AN13" s="1085">
        <f t="shared" si="1"/>
        <v>0</v>
      </c>
      <c r="AO13" s="1085">
        <f t="shared" si="1"/>
        <v>0</v>
      </c>
      <c r="AP13" s="1090">
        <f>IF(ISNUMBER(((Datos!L13/Datos!K13)*11)/factor_trimestre),((Datos!L13/Datos!K13)*11)/factor_trimestre," - ")</f>
        <v>7.4819277108433733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8.4507042253521118E-3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7.2866242038216562</v>
      </c>
      <c r="AQ18" s="1090">
        <f>IF(ISNUMBER(((Datos!M18/Datos!L18)*11)/factor_trimestre),((Datos!M18/Datos!L18)*11)/factor_trimestre," - ")</f>
        <v>0.12587412587412589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-0.10909090909090909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29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v>
      </c>
      <c r="AE19" s="1103">
        <f t="shared" si="5"/>
        <v>0</v>
      </c>
      <c r="AF19" s="1104">
        <f t="shared" si="5"/>
        <v>11</v>
      </c>
      <c r="AG19" s="1104">
        <f t="shared" si="5"/>
        <v>0</v>
      </c>
      <c r="AH19" s="1104">
        <f t="shared" si="5"/>
        <v>1074</v>
      </c>
      <c r="AI19" s="1104">
        <f t="shared" si="5"/>
        <v>0</v>
      </c>
      <c r="AJ19" s="1105">
        <f t="shared" si="5"/>
        <v>0</v>
      </c>
      <c r="AK19" s="1105">
        <f t="shared" si="5"/>
        <v>0</v>
      </c>
      <c r="AL19" s="1097">
        <f t="shared" si="5"/>
        <v>60</v>
      </c>
      <c r="AM19" s="1097">
        <f t="shared" si="5"/>
        <v>64</v>
      </c>
      <c r="AN19" s="1097">
        <f t="shared" si="5"/>
        <v>0</v>
      </c>
      <c r="AO19" s="1097">
        <f t="shared" si="5"/>
        <v>0</v>
      </c>
      <c r="AP19" s="1097">
        <f>IF(ISNUMBER(((Datos!L19/Datos!K19)*11)/factor_trimestre),((Datos!L19/Datos!K19)*11)/factor_trimestre," - ")</f>
        <v>7.3869969040247687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8.0285459411239962E-3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34.641016151377549</v>
      </c>
      <c r="AM21" s="869"/>
      <c r="AN21" s="869">
        <f>IF(ISNUMBER(STDEV(AN8:AN18)),STDEV(AN8:AN18),"-")</f>
        <v>0</v>
      </c>
      <c r="AO21" s="875">
        <f>IF(ISNUMBER(STDEV(AO8:AO18)),STDEV(AO8:AO18),"-")</f>
        <v>0</v>
      </c>
      <c r="AP21" s="922">
        <f>IF(ISNUMBER(STDEV(AP8:AP18)),STDEV(AP8:AP18),"-")</f>
        <v>0.22472619053322548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MkBdgp/mQZREhqkysqpazoWL0bokW7yVZZB6X+227EA3nluzmrsmvDodUlaZ/D/5g2B5UixMDgDmx+/Gs5sUQ==" saltValue="NGV3SMNUhxWPtGmUCNHb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PADRON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cfPnJST/y9wkW3QXZ7ZcUZDWXHR6b/VxyEJoFOJaHyIBQPWnehn/DNxiCYmyh3aDLrbR/UsQIp5cVE6LHjoWQ==" saltValue="DzHA6mgGF9sYN15JGK1m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PADRON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60</v>
      </c>
      <c r="E12" s="415">
        <f t="shared" si="0"/>
        <v>30</v>
      </c>
      <c r="F12" s="414">
        <f>IF(ISNUMBER(Datos!N12),Datos!N12," - ")</f>
        <v>64</v>
      </c>
      <c r="G12" s="415">
        <f t="shared" si="1"/>
        <v>32</v>
      </c>
      <c r="H12" s="414">
        <f>IF(ISNUMBER(Datos!O12),Datos!O12," - ")</f>
        <v>66</v>
      </c>
      <c r="I12" s="415">
        <f t="shared" si="2"/>
        <v>33</v>
      </c>
    </row>
    <row r="13" spans="1:9" ht="14.25" thickTop="1" thickBot="1">
      <c r="A13" s="994" t="str">
        <f>Datos!A13</f>
        <v>TOTAL</v>
      </c>
      <c r="B13" s="995">
        <f>Datos!AO13</f>
        <v>3</v>
      </c>
      <c r="C13" s="997">
        <f>Datos!AR13</f>
        <v>2</v>
      </c>
      <c r="D13" s="995">
        <f>SUBTOTAL(9,D9:D12)</f>
        <v>60</v>
      </c>
      <c r="E13" s="996">
        <f t="shared" si="0"/>
        <v>20</v>
      </c>
      <c r="F13" s="995">
        <f>SUBTOTAL(9,F9:F12)</f>
        <v>64</v>
      </c>
      <c r="G13" s="996">
        <f t="shared" si="1"/>
        <v>21.333333333333332</v>
      </c>
      <c r="H13" s="995">
        <f>SUBTOTAL(9,H9:H12)</f>
        <v>66</v>
      </c>
      <c r="I13" s="996">
        <f>IF(ISNUMBER(H13/B13),H13/B13," - ")</f>
        <v>22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64</v>
      </c>
      <c r="G16" s="415">
        <f t="shared" si="4"/>
        <v>32</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3</v>
      </c>
      <c r="C18" s="997">
        <f>Datos!AR18</f>
        <v>2</v>
      </c>
      <c r="D18" s="995">
        <f>SUBTOTAL(9,D15:D17)</f>
        <v>36</v>
      </c>
      <c r="E18" s="996">
        <f t="shared" si="3"/>
        <v>12</v>
      </c>
      <c r="F18" s="995">
        <f>SUBTOTAL(9,F15:F17)</f>
        <v>76</v>
      </c>
      <c r="G18" s="996">
        <f t="shared" si="4"/>
        <v>25.333333333333332</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96</v>
      </c>
      <c r="E19" s="941">
        <f>IF(ISNUMBER(D19/B19),D19/B19," - ")</f>
        <v>48</v>
      </c>
      <c r="F19" s="940">
        <f>SUBTOTAL(9,F8:F18)</f>
        <v>140</v>
      </c>
      <c r="G19" s="941">
        <f>IF(ISNUMBER(F19/B19),F19/B19," - ")</f>
        <v>70</v>
      </c>
      <c r="H19" s="940">
        <f>SUBTOTAL(9,H8:H18)</f>
        <v>67</v>
      </c>
      <c r="I19" s="941">
        <f>IF(ISNUMBER(H19/B19),H19/B19," - ")</f>
        <v>33.5</v>
      </c>
    </row>
    <row r="22" spans="1:9">
      <c r="A22" s="402" t="str">
        <f>Criterios!A4</f>
        <v>Fecha Informe: 29 nov. 2023</v>
      </c>
    </row>
    <row r="27" spans="1:9">
      <c r="A27" s="425"/>
    </row>
  </sheetData>
  <sheetProtection algorithmName="SHA-512" hashValue="ZL3Qkm9gDHhuzxXYii3+5jMVwUoDC0gy2DpaJ7rlGCUIn6tJQk/E0mwq//P4CKEAsM+IsHmMIHxJ221t9xDFTQ==" saltValue="dg8CSoYjMSRSOubA6YSu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PADRON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29</v>
      </c>
      <c r="C12" s="450">
        <f>IF(ISNUMBER(Datos!Q12),Datos!Q12," - ")</f>
        <v>20</v>
      </c>
      <c r="D12" s="419">
        <f>IF(ISNUMBER(Datos!R12),Datos!R12," - ")</f>
        <v>1074</v>
      </c>
    </row>
    <row r="13" spans="1:4" ht="14.25" thickTop="1" thickBot="1">
      <c r="A13" s="994" t="str">
        <f>Datos!A13</f>
        <v>TOTAL</v>
      </c>
      <c r="B13" s="995">
        <f>SUBTOTAL(9,B9:B12)</f>
        <v>29</v>
      </c>
      <c r="C13" s="999">
        <f>SUBTOTAL(9,C9:C12)</f>
        <v>20</v>
      </c>
      <c r="D13" s="997">
        <f>SUBTOTAL(9,D9:D12)</f>
        <v>1075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13</v>
      </c>
      <c r="D16" s="419">
        <f>IF(ISNUMBER(Datos!R16),Datos!R16," - ")</f>
        <v>55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13</v>
      </c>
      <c r="C18" s="999">
        <f>SUBTOTAL(9,C15:C17)</f>
        <v>13</v>
      </c>
      <c r="D18" s="997">
        <f>SUBTOTAL(9,D15:D17)</f>
        <v>55</v>
      </c>
    </row>
    <row r="19" spans="1:4" ht="16.5" customHeight="1" thickTop="1" thickBot="1">
      <c r="A19" s="939" t="str">
        <f>Datos!A19</f>
        <v>TOTAL JURISDICCIONES</v>
      </c>
      <c r="B19" s="944">
        <f>SUBTOTAL(9,B8:B18)</f>
        <v>42</v>
      </c>
      <c r="C19" s="945">
        <f>SUBTOTAL(9,C8:C18)</f>
        <v>33</v>
      </c>
      <c r="D19" s="946">
        <f>SUBTOTAL(9,D8:D18)</f>
        <v>1130</v>
      </c>
    </row>
    <row r="20" spans="1:4" ht="7.5" customHeight="1"/>
    <row r="21" spans="1:4" ht="6" customHeight="1"/>
    <row r="22" spans="1:4">
      <c r="A22" s="402" t="str">
        <f>Criterios!A4</f>
        <v>Fecha Informe: 29 nov. 2023</v>
      </c>
    </row>
    <row r="27" spans="1:4">
      <c r="A27" s="425"/>
    </row>
  </sheetData>
  <sheetProtection algorithmName="SHA-512" hashValue="eUoqICgVkGYGzYV/3F2BIxQ9P8Xze6pK1fClMK5pXYth6ImxVgFKU3RfMkts4ZsIne++3Ej7dStrI2+4uBBl0Q==" saltValue="b06/pi/x4JoouCMKA1yP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PADRON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0</v>
      </c>
      <c r="D10" s="472" t="str">
        <f>IF(ISNUMBER((Datos!K10-Datos!U10)/Datos!U10),(Datos!K10-Datos!U10)/Datos!U10," - ")</f>
        <v xml:space="preserve"> - </v>
      </c>
      <c r="E10" s="472">
        <f>IF(ISNUMBER((Datos!L10-Datos!V10)/Datos!V10),(Datos!L10-Datos!V10)/Datos!V10," - ")</f>
        <v>0.5714285714285714</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0.16279069767441862</v>
      </c>
      <c r="C12" s="472">
        <f>IF(ISNUMBER(
   IF(J_V="SI",(Datos!J12-Datos!T12)/Datos!T12,(Datos!J12+Datos!Z12-(Datos!T12+Datos!AH12))/(Datos!T12+Datos!AH12))
     ),IF(J_V="SI",(Datos!J12-Datos!T12)/Datos!T12,(Datos!J12+Datos!Z12-(Datos!T12+Datos!AH12))/(Datos!T12+Datos!AH12))," - ")</f>
        <v>-0.13924050632911392</v>
      </c>
      <c r="D12" s="472">
        <f>IF(ISNUMBER(
   IF(J_V="SI",(Datos!K12-Datos!U12)/Datos!U12,(Datos!K12+Datos!AA12-(Datos!U12+Datos!AI12))/(Datos!U12+Datos!AI12))
     ),IF(J_V="SI",(Datos!K12-Datos!U12)/Datos!U12,(Datos!K12+Datos!AA12-(Datos!U12+Datos!AI12))/(Datos!U12+Datos!AI12))," - ")</f>
        <v>-9.6446700507614211E-2</v>
      </c>
      <c r="E12" s="472">
        <f>IF(ISNUMBER(
   IF(J_V="SI",(Datos!L12-Datos!V12)/Datos!V12,(Datos!L12+Datos!AB12-(Datos!V12+Datos!AJ12))/(Datos!V12+Datos!AJ12))
     ),IF(J_V="SI",(Datos!L12-Datos!V12)/Datos!V12,(Datos!L12+Datos!AB12-(Datos!V12+Datos!AJ12))/(Datos!V12+Datos!AJ12))," - ")</f>
        <v>0.12589928057553956</v>
      </c>
      <c r="F12" s="472">
        <f>IF(ISNUMBER((Datos!M12-Datos!W12)/Datos!W12),(Datos!M12-Datos!W12)/Datos!W12," - ")</f>
        <v>-0.22077922077922077</v>
      </c>
      <c r="G12" s="473">
        <f>IF(ISNUMBER((Datos!N12-Datos!X12)/Datos!X12),(Datos!N12-Datos!X12)/Datos!X12," - ")</f>
        <v>6.6666666666666666E-2</v>
      </c>
      <c r="H12" s="471">
        <f>IF(ISNUMBER(((NºAsuntos!G12/NºAsuntos!E12)-Datos!BD12)/Datos!BD12),((NºAsuntos!G12/NºAsuntos!E12)-Datos!BD12)/Datos!BD12," - ")</f>
        <v>4.9716333233801209E-2</v>
      </c>
      <c r="I12" s="472">
        <f>IF(ISNUMBER(((NºAsuntos!I12/NºAsuntos!G12)-Datos!BE12)/Datos!BE12),((NºAsuntos!I12/NºAsuntos!G12)-Datos!BE12)/Datos!BE12," - ")</f>
        <v>0.24607954086169265</v>
      </c>
      <c r="J12" s="477">
        <f>IF(ISNUMBER((('Resol  Asuntos'!D12/NºAsuntos!G12)-Datos!BF12)/Datos!BF12),(('Resol  Asuntos'!D12/NºAsuntos!G12)-Datos!BF12)/Datos!BF12," - ")</f>
        <v>0.10674157303370775</v>
      </c>
      <c r="K12" s="478">
        <f>IF(ISNUMBER((((NºAsuntos!C12+NºAsuntos!E12)/NºAsuntos!G12)-Datos!BG12)/Datos!BG12),(((NºAsuntos!C12+NºAsuntos!E12)/NºAsuntos!G12)-Datos!BG12)/Datos!BG12," - ")</f>
        <v>0.18170016562961633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0.16858237547892721</v>
      </c>
      <c r="C13" s="1001">
        <f>IF(ISNUMBER(
   IF(J_V="SI",(Datos!J13-Datos!T13)/Datos!T13,(Datos!J13+Datos!Z13-(Datos!T13+Datos!AH13))/(Datos!T13+Datos!AH13))
     ),IF(J_V="SI",(Datos!J13-Datos!T13)/Datos!T13,(Datos!J13+Datos!Z13-(Datos!T13+Datos!AH13))/(Datos!T13+Datos!AH13))," - ")</f>
        <v>-0.13865546218487396</v>
      </c>
      <c r="D13" s="1001">
        <f>IF(ISNUMBER(
   IF(J_V="SI",(Datos!K13-Datos!U13)/Datos!U13,(Datos!K13+Datos!AA13-(Datos!U13+Datos!AI13))/(Datos!U13+Datos!AI13))
     ),IF(J_V="SI",(Datos!K13-Datos!U13)/Datos!U13,(Datos!K13+Datos!AA13-(Datos!U13+Datos!AI13))/(Datos!U13+Datos!AI13))," - ")</f>
        <v>-9.6446700507614211E-2</v>
      </c>
      <c r="E13" s="1001">
        <f>IF(ISNUMBER(
   IF(J_V="SI",(Datos!L13-Datos!V13)/Datos!V13,(Datos!L13+Datos!AB13-(Datos!V13+Datos!AJ13))/(Datos!V13+Datos!AJ13))
     ),IF(J_V="SI",(Datos!L13-Datos!V13)/Datos!V13,(Datos!L13+Datos!AB13-(Datos!V13+Datos!AJ13))/(Datos!V13+Datos!AJ13))," - ")</f>
        <v>0.13143872113676733</v>
      </c>
      <c r="F13" s="1002">
        <f>IF(ISNUMBER((Datos!M13-Datos!W13)/Datos!W13),(Datos!M13-Datos!W13)/Datos!W13," - ")</f>
        <v>-0.22077922077922077</v>
      </c>
      <c r="G13" s="1003">
        <f>IF(ISNUMBER((Datos!N13-Datos!X13)/Datos!X13),(Datos!N13-Datos!X13)/Datos!X13," - ")</f>
        <v>6.6666666666666666E-2</v>
      </c>
      <c r="H13" s="1003">
        <f>IF(ISNUMBER(((NºAsuntos!G13/NºAsuntos!E13)-Datos!BD13)/Datos!BD13),((NºAsuntos!G13/NºAsuntos!E13)-Datos!BD13)/Datos!BD13," - ")</f>
        <v>4.9003342825306488E-2</v>
      </c>
      <c r="I13" s="1003">
        <f>IF(ISNUMBER(((NºAsuntos!I13/NºAsuntos!G13)-Datos!BE13)/Datos!BE13),((NºAsuntos!I13/NºAsuntos!G13)-Datos!BE13)/Datos!BE13," - ")</f>
        <v>0.25221027002215257</v>
      </c>
      <c r="J13" s="1003">
        <f>IF(ISNUMBER((('Resol  Asuntos'!D13/NºAsuntos!G13)-Datos!BF13)/Datos!BF13),(('Resol  Asuntos'!D13/NºAsuntos!G13)-Datos!BF13)/Datos!BF13," - ")</f>
        <v>0.10674157303370775</v>
      </c>
      <c r="K13" s="1003">
        <f>IF(ISNUMBER((((NºAsuntos!C13+NºAsuntos!E13)/NºAsuntos!G13)-Datos!BG13)/Datos!BG13),(((NºAsuntos!C13+NºAsuntos!E13)/NºAsuntos!G13)-Datos!BG13)/Datos!BG13," - ")</f>
        <v>0.18683471318746303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0.37313432835820898</v>
      </c>
      <c r="C16" s="472">
        <f>IF(ISNUMBER(
   IF(D_I="SI",(Datos!J16-Datos!T16)/Datos!T16,(Datos!J16+Datos!AD16-(Datos!T16+Datos!AL16))/(Datos!T16+Datos!AL16))
     ),IF(D_I="SI",(Datos!J16-Datos!T16)/Datos!T16,(Datos!J16+Datos!AD16-(Datos!T16+Datos!AL16))/(Datos!T16+Datos!AL16))," - ")</f>
        <v>0.16402116402116401</v>
      </c>
      <c r="D16" s="472">
        <f>IF(ISNUMBER(
   IF(D_I="SI",(Datos!K16-Datos!U16)/Datos!U16,(Datos!K16+Datos!AE16-(Datos!U16+Datos!AM16))/(Datos!U16+Datos!AM16))
     ),IF(D_I="SI",(Datos!K16-Datos!U16)/Datos!U16,(Datos!K16+Datos!AE16-(Datos!U16+Datos!AM16))/(Datos!U16+Datos!AM16))," - ")</f>
        <v>-0.16666666666666666</v>
      </c>
      <c r="E16" s="472">
        <f>IF(ISNUMBER(
   IF(D_I="SI",(Datos!L16-Datos!V16)/Datos!V16,(Datos!L16+Datos!AF16-(Datos!V16+Datos!AN16))/(Datos!V16+Datos!AN16))
     ),IF(D_I="SI",(Datos!L16-Datos!V16)/Datos!V16,(Datos!L16+Datos!AF16-(Datos!V16+Datos!AN16))/(Datos!V16+Datos!AN16))," - ")</f>
        <v>0.50964187327823696</v>
      </c>
      <c r="F16" s="472">
        <f>IF(ISNUMBER((Datos!M16-Datos!W16)/Datos!W16),(Datos!M16-Datos!W16)/Datos!W16," - ")</f>
        <v>0.20689655172413793</v>
      </c>
      <c r="G16" s="473">
        <f>IF(ISNUMBER((Datos!N16-Datos!X16)/Datos!X16),(Datos!N16-Datos!X16)/Datos!X16," - ")</f>
        <v>-0.31182795698924731</v>
      </c>
      <c r="H16" s="471">
        <f>IF(ISNUMBER(((NºAsuntos!G16/NºAsuntos!E16)-Datos!BD16)/Datos!BD16),((NºAsuntos!G16/NºAsuntos!E16)-Datos!BD16)/Datos!BD16," - ")</f>
        <v>-0.28409090909090906</v>
      </c>
      <c r="I16" s="472">
        <f>IF(ISNUMBER(((NºAsuntos!I16/NºAsuntos!G16)-Datos!BE16)/Datos!BE16),((NºAsuntos!I16/NºAsuntos!G16)-Datos!BE16)/Datos!BE16," - ")</f>
        <v>0.81157024793388433</v>
      </c>
      <c r="J16" s="477">
        <f>IF(ISNUMBER((('Resol  Asuntos'!D16/NºAsuntos!G16)-Datos!BF16)/Datos!BF16),(('Resol  Asuntos'!D16/NºAsuntos!G16)-Datos!BF16)/Datos!BF16," - ")</f>
        <v>0.44827586206896552</v>
      </c>
      <c r="K16" s="478">
        <f>IF(ISNUMBER((((NºAsuntos!C16+NºAsuntos!E16)/NºAsuntos!G16)-Datos!BG16)/Datos!BG16),(((NºAsuntos!C16+NºAsuntos!E16)/NºAsuntos!G16)-Datos!BG16)/Datos!BG16," - ")</f>
        <v>0.55725190839694638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1.375</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0.84615384615384615</v>
      </c>
      <c r="F17" s="472" t="str">
        <f>IF(ISNUMBER((Datos!M17-Datos!W17)/Datos!W17),(Datos!M17-Datos!W17)/Datos!W17," - ")</f>
        <v xml:space="preserve"> - </v>
      </c>
      <c r="G17" s="473">
        <f>IF(ISNUMBER((Datos!N17-Datos!X17)/Datos!X17),(Datos!N17-Datos!X17)/Datos!X17," - ")</f>
        <v>0.5</v>
      </c>
      <c r="H17" s="471">
        <f>IF(ISNUMBER(((NºAsuntos!G17/NºAsuntos!E17)-Datos!BD17)/Datos!BD17),((NºAsuntos!G17/NºAsuntos!E17)-Datos!BD17)/Datos!BD17," - ")</f>
        <v>0</v>
      </c>
      <c r="I17" s="472">
        <f>IF(ISNUMBER(((NºAsuntos!I17/NºAsuntos!G17)-Datos!BE17)/Datos!BE17),((NºAsuntos!I17/NºAsuntos!G17)-Datos!BE17)/Datos!BE17," - ")</f>
        <v>0.84615384615384637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0.36666666666666664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0.39650145772594753</v>
      </c>
      <c r="C18" s="1001">
        <f>IF(ISNUMBER(
   IF(Criterios!B14="SI",(Datos!J18-Datos!T18)/Datos!T18,(Datos!J18+Datos!AD18-(Datos!T18+Datos!AL18))/(Datos!T18+Datos!AL18))
     ),IF(Criterios!B14="SI",(Datos!J18-Datos!T18)/Datos!T18,(Datos!J18+Datos!AD18-(Datos!T18+Datos!AL18))/(Datos!T18+Datos!AL18))," - ")</f>
        <v>0.14691943127962084</v>
      </c>
      <c r="D18" s="1001">
        <f>IF(ISNUMBER(
   IF(Criterios!B14="SI",(Datos!K18-Datos!U18)/Datos!U18,(Datos!K18+Datos!AE18-(Datos!U18+Datos!AM18))/(Datos!U18+Datos!AM18))
     ),IF(Criterios!B14="SI",(Datos!K18-Datos!U18)/Datos!U18,(Datos!K18+Datos!AE18-(Datos!U18+Datos!AM18))/(Datos!U18+Datos!AM18))," - ")</f>
        <v>-0.15135135135135136</v>
      </c>
      <c r="E18" s="1001">
        <f>IF(ISNUMBER(
   IF(Criterios!B14="SI",(Datos!L18-Datos!V18)/Datos!V18,(Datos!L18+Datos!AF18-(Datos!V18+Datos!AN18))/(Datos!V18+Datos!AN18))
     ),IF(Criterios!B14="SI",(Datos!L18-Datos!V18)/Datos!V18,(Datos!L18+Datos!AF18-(Datos!V18+Datos!AN18))/(Datos!V18+Datos!AN18))," - ")</f>
        <v>0.52127659574468088</v>
      </c>
      <c r="F18" s="1002">
        <f>IF(ISNUMBER((Datos!M18-Datos!W18)/Datos!W18),(Datos!M18-Datos!W18)/Datos!W18," - ")</f>
        <v>0.2413793103448276</v>
      </c>
      <c r="G18" s="1003">
        <f>IF(ISNUMBER((Datos!N18-Datos!X18)/Datos!X18),(Datos!N18-Datos!X18)/Datos!X18," - ")</f>
        <v>-0.24752475247524752</v>
      </c>
      <c r="H18" s="1003">
        <f>IF(ISNUMBER(((NºAsuntos!G18/NºAsuntos!E18)-Datos!BD18)/Datos!BD18),((NºAsuntos!G18/NºAsuntos!E18)-Datos!BD18)/Datos!BD18," - ")</f>
        <v>-0.2600625418807237</v>
      </c>
      <c r="I18" s="1003">
        <f>IF(ISNUMBER(((NºAsuntos!I18/NºAsuntos!G18)-Datos!BE18)/Datos!BE18),((NºAsuntos!I18/NºAsuntos!G18)-Datos!BE18)/Datos!BE18," - ")</f>
        <v>0.7925870714188914</v>
      </c>
      <c r="J18" s="1003">
        <f>IF(ISNUMBER((('Resol  Asuntos'!D18/NºAsuntos!G18)-Datos!BF18)/Datos!BF18),(('Resol  Asuntos'!D18/NºAsuntos!G18)-Datos!BF18)/Datos!BF18," - ")</f>
        <v>0.46277179881396874</v>
      </c>
      <c r="K18" s="1003">
        <f>IF(ISNUMBER((((NºAsuntos!C18+NºAsuntos!E18)/NºAsuntos!G18)-Datos!BG18)/Datos!BG18),(((NºAsuntos!C18+NºAsuntos!E18)/NºAsuntos!G18)-Datos!BG18)/Datos!BG18," - ")</f>
        <v>0.53354871346777344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0.25895953757225432</v>
      </c>
      <c r="C19" s="948">
        <f>IF(ISNUMBER(
   IF(J_V="SI",(Datos!J19-Datos!T19)/Datos!T19,(Datos!J19+Datos!Z19-(Datos!T19+Datos!AH19))/(Datos!T19+Datos!AH19))
     ),IF(J_V="SI",(Datos!J19-Datos!T19)/Datos!T19,(Datos!J19+Datos!Z19-(Datos!T19+Datos!AH19))/(Datos!T19+Datos!AH19))," - ")</f>
        <v>-4.4543429844097994E-3</v>
      </c>
      <c r="D19" s="948">
        <f>IF(ISNUMBER(
   IF(J_V="SI",(Datos!K19-Datos!U19)/Datos!U19,(Datos!K19+Datos!AA19-(Datos!U19+Datos!AI19))/(Datos!U19+Datos!AI19))
     ),IF(J_V="SI",(Datos!K19-Datos!U19)/Datos!U19,(Datos!K19+Datos!AA19-(Datos!U19+Datos!AI19))/(Datos!U19+Datos!AI19))," - ")</f>
        <v>-0.12303664921465969</v>
      </c>
      <c r="E19" s="948">
        <f>IF(ISNUMBER(
   IF(J_V="SI",(Datos!L19-Datos!V19)/Datos!V19,(Datos!L19+Datos!AB19-(Datos!V19+Datos!AJ19))/(Datos!V19+Datos!AJ19))
     ),IF(J_V="SI",(Datos!L19-Datos!V19)/Datos!V19,(Datos!L19+Datos!AB19-(Datos!V19+Datos!AJ19))/(Datos!V19+Datos!AJ19))," - ")</f>
        <v>0.28753993610223644</v>
      </c>
      <c r="F19" s="949">
        <f>IF(ISNUMBER((Datos!M19-Datos!W19)/Datos!W19),(Datos!M19-Datos!W19)/Datos!W19," - ")</f>
        <v>-9.4339622641509441E-2</v>
      </c>
      <c r="G19" s="950">
        <f>IF(ISNUMBER((Datos!N19-Datos!X19)/Datos!X19),(Datos!N19-Datos!X19)/Datos!X19," - ")</f>
        <v>-0.13043478260869565</v>
      </c>
      <c r="H19" s="951">
        <f>IF(ISNUMBER((Tasas!B19-Datos!BD19)/Datos!BD19),(Tasas!B19-Datos!BD19)/Datos!BD19," - ")</f>
        <v>-0.11911287583306979</v>
      </c>
      <c r="I19" s="952">
        <f>IF(ISNUMBER((Tasas!C19-Datos!BE19)/Datos!BE19),(Tasas!C19-Datos!BE19)/Datos!BE19," - ")</f>
        <v>0.46817986743598305</v>
      </c>
      <c r="J19" s="953">
        <f>IF(ISNUMBER((Tasas!D19-Datos!BF19)/Datos!BF19),(Tasas!D19-Datos!BF19)/Datos!BF19," - ")</f>
        <v>0.22998490692604404</v>
      </c>
      <c r="K19" s="953">
        <f>IF(ISNUMBER((Tasas!E19-Datos!BG19)/Datos!BG19),(Tasas!E19-Datos!BG19)/Datos!BG19," - ")</f>
        <v>0.33295167995638264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i8qP1gipeVvQKIyCNqdLVdD8yDAMFsJ8j9kD/mEPwLl68RjPt7aosK3QEpzU0I4TOLQc2tuUmNG71bC8+W9aQ==" saltValue="i0zHXPKM0+Nm9AXzFVuH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PADRON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0.87254901960784315</v>
      </c>
      <c r="C12" s="459">
        <f>IF(ISNUMBER(NºAsuntos!I12/NºAsuntos!G12),NºAsuntos!I12/NºAsuntos!G12," - ")</f>
        <v>3.5168539325842696</v>
      </c>
      <c r="D12" s="460">
        <f>IF(ISNUMBER('Resol  Asuntos'!D12/NºAsuntos!G12),'Resol  Asuntos'!D12/NºAsuntos!G12," - ")</f>
        <v>0.33707865168539325</v>
      </c>
      <c r="E12" s="461">
        <f>IF(ISNUMBER((NºAsuntos!C12+NºAsuntos!E12)/NºAsuntos!G12),(NºAsuntos!C12+NºAsuntos!E12)/NºAsuntos!G12," - ")</f>
        <v>4.5168539325842696</v>
      </c>
      <c r="G12" s="479"/>
    </row>
    <row r="13" spans="1:7" ht="14.25" thickTop="1" thickBot="1">
      <c r="A13" s="994" t="str">
        <f>Datos!A13</f>
        <v>TOTAL</v>
      </c>
      <c r="B13" s="1004">
        <f>IF(ISNUMBER(NºAsuntos!G13/NºAsuntos!E13),NºAsuntos!G13/NºAsuntos!E13," - ")</f>
        <v>0.86829268292682926</v>
      </c>
      <c r="C13" s="1005">
        <f>IF(ISNUMBER(NºAsuntos!I13/NºAsuntos!G13),NºAsuntos!I13/NºAsuntos!G13," - ")</f>
        <v>3.5786516853932584</v>
      </c>
      <c r="D13" s="1006">
        <f>IF(ISNUMBER('Resol  Asuntos'!D13/NºAsuntos!G13),'Resol  Asuntos'!D13/NºAsuntos!G13," - ")</f>
        <v>0.33707865168539325</v>
      </c>
      <c r="E13" s="1007">
        <f>IF(ISNUMBER((NºAsuntos!C13+NºAsuntos!E13)/NºAsuntos!G13),(NºAsuntos!C13+NºAsuntos!E13)/NºAsuntos!G13," - ")</f>
        <v>4.5786516853932584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0.63636363636363635</v>
      </c>
      <c r="C16" s="459">
        <f>IF(ISNUMBER(NºAsuntos!I16/NºAsuntos!G16),NºAsuntos!I16/NºAsuntos!G16," - ")</f>
        <v>3.9142857142857141</v>
      </c>
      <c r="D16" s="460">
        <f>IF(ISNUMBER('Resol  Asuntos'!D16/NºAsuntos!G16),'Resol  Asuntos'!D16/NºAsuntos!G16," - ")</f>
        <v>0.25</v>
      </c>
      <c r="E16" s="461">
        <f>IF(ISNUMBER((NºAsuntos!C16+NºAsuntos!E16)/NºAsuntos!G16),(NºAsuntos!C16+NºAsuntos!E16)/NºAsuntos!G16," - ")</f>
        <v>4.8571428571428568</v>
      </c>
      <c r="G16" s="479"/>
    </row>
    <row r="17" spans="1:7" ht="13.5" thickBot="1">
      <c r="A17" s="413" t="str">
        <f>Datos!A17</f>
        <v>Jdos. Violencia contra la mujer</v>
      </c>
      <c r="B17" s="458">
        <f>IF(ISNUMBER(NºAsuntos!G17/NºAsuntos!E17),NºAsuntos!G17/NºAsuntos!E17," - ")</f>
        <v>0.77272727272727271</v>
      </c>
      <c r="C17" s="459">
        <f>IF(ISNUMBER(NºAsuntos!I17/NºAsuntos!G17),NºAsuntos!I17/NºAsuntos!G17," - ")</f>
        <v>1.411764705882353</v>
      </c>
      <c r="D17" s="460">
        <f>IF(ISNUMBER('Resol  Asuntos'!D17/NºAsuntos!G17),'Resol  Asuntos'!D17/NºAsuntos!G17," - ")</f>
        <v>5.8823529411764705E-2</v>
      </c>
      <c r="E17" s="461">
        <f>IF(ISNUMBER((NºAsuntos!C17+NºAsuntos!E17)/NºAsuntos!G17),(NºAsuntos!C17+NºAsuntos!E17)/NºAsuntos!G17," - ")</f>
        <v>2.4117647058823528</v>
      </c>
      <c r="G17" s="479"/>
    </row>
    <row r="18" spans="1:7" ht="14.25" thickTop="1" thickBot="1">
      <c r="A18" s="994" t="str">
        <f>Datos!A18</f>
        <v>TOTAL</v>
      </c>
      <c r="B18" s="1004">
        <f>IF(ISNUMBER(NºAsuntos!G18/NºAsuntos!E18),NºAsuntos!G18/NºAsuntos!E18," - ")</f>
        <v>0.64876033057851235</v>
      </c>
      <c r="C18" s="1005">
        <f>IF(ISNUMBER(NºAsuntos!I18/NºAsuntos!G18),NºAsuntos!I18/NºAsuntos!G18," - ")</f>
        <v>3.6433121019108281</v>
      </c>
      <c r="D18" s="1008">
        <f>IF(ISNUMBER('Resol  Asuntos'!D18/NºAsuntos!G18),'Resol  Asuntos'!D18/NºAsuntos!G18," - ")</f>
        <v>0.22929936305732485</v>
      </c>
      <c r="E18" s="1007">
        <f>IF(ISNUMBER((NºAsuntos!C18+NºAsuntos!E18)/NºAsuntos!G18),(NºAsuntos!C18+NºAsuntos!E18)/NºAsuntos!G18," - ")</f>
        <v>4.5923566878980893</v>
      </c>
      <c r="G18" s="479"/>
    </row>
    <row r="19" spans="1:7" ht="15.75" customHeight="1" thickTop="1" thickBot="1">
      <c r="A19" s="939" t="str">
        <f>Datos!A19</f>
        <v>TOTAL JURISDICCIONES</v>
      </c>
      <c r="B19" s="954">
        <f>IF(ISNUMBER(NºAsuntos!G19/NºAsuntos!E19),NºAsuntos!G19/NºAsuntos!E19," - ")</f>
        <v>0.7494407158836689</v>
      </c>
      <c r="C19" s="955">
        <f>IF(ISNUMBER(NºAsuntos!I19/NºAsuntos!G19),NºAsuntos!I19/NºAsuntos!G19," - ")</f>
        <v>3.6089552238805971</v>
      </c>
      <c r="D19" s="956">
        <f>IF(ISNUMBER('Resol  Asuntos'!D19/NºAsuntos!G19),'Resol  Asuntos'!D19/NºAsuntos!G19," - ")</f>
        <v>0.28656716417910449</v>
      </c>
      <c r="E19" s="957">
        <f>IF(ISNUMBER((NºAsuntos!C19+NºAsuntos!E19)/NºAsuntos!G19),(NºAsuntos!C19+NºAsuntos!E19)/NºAsuntos!G19," - ")</f>
        <v>4.5850746268656719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uNumdXLrvxo7JWwjBW2hofQ1/Lm7wNRYtijJuJMCLWZPG46umM7TMuVIqrdbdsSRYK1RDGGl8q3mRN8G5fc2A==" saltValue="IbkcH53Ii89jmX1GPgh9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PADRON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11</v>
      </c>
      <c r="AB10" s="343">
        <f>IF(ISNUMBER(Datos!R10),Datos!R10," - ")</f>
        <v>1</v>
      </c>
      <c r="AC10" s="343">
        <f t="shared" ref="AC10:AC12" si="1">IF(ISNUMBER(AA10+AB10),AA10+AB10," - ")</f>
        <v>12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1074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60</v>
      </c>
      <c r="AJ12" s="233" t="str">
        <f>IF(ISNUMBER(Datos!BW12),Datos!BW12," - ")</f>
        <v xml:space="preserve"> - </v>
      </c>
      <c r="AK12" s="232" t="str">
        <f>IF(ISNUMBER(Datos!BX12),Datos!BX12," - ")</f>
        <v xml:space="preserve"> - </v>
      </c>
      <c r="AL12" s="247">
        <f>IF(ISNUMBER(NºAsuntos!G12/NºAsuntos!E12),NºAsuntos!G12/NºAsuntos!E12," - ")</f>
        <v>0.87254901960784315</v>
      </c>
      <c r="AM12" s="264">
        <f>IF(ISNUMBER(((NºAsuntos!I12/NºAsuntos!G12)*11)/factor_trimestre),((NºAsuntos!I12/NºAsuntos!G12)*11)/factor_trimestre," - ")</f>
        <v>7.0337078651685383</v>
      </c>
      <c r="AN12" s="248">
        <f>IF(ISNUMBER('Resol  Asuntos'!D12/NºAsuntos!G12),'Resol  Asuntos'!D12/NºAsuntos!G12," - ")</f>
        <v>0.33707865168539325</v>
      </c>
      <c r="AO12" s="249">
        <f>IF(ISNUMBER((NºAsuntos!C12+NºAsuntos!E12)/NºAsuntos!G12),(NºAsuntos!C12+NºAsuntos!E12)/NºAsuntos!G12," - ")</f>
        <v>4.5168539325842696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29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v>
      </c>
      <c r="Y13" s="1014">
        <f t="shared" si="4"/>
        <v>20</v>
      </c>
      <c r="Z13" s="1014">
        <f t="shared" si="4"/>
        <v>0</v>
      </c>
      <c r="AA13" s="1014">
        <f t="shared" si="4"/>
        <v>11</v>
      </c>
      <c r="AB13" s="1014">
        <f t="shared" si="4"/>
        <v>1075</v>
      </c>
      <c r="AC13" s="1014">
        <f t="shared" si="4"/>
        <v>12</v>
      </c>
      <c r="AD13" s="1014">
        <f t="shared" si="4"/>
        <v>0</v>
      </c>
      <c r="AE13" s="1018">
        <f t="shared" si="4"/>
        <v>0</v>
      </c>
      <c r="AF13" s="1011">
        <f t="shared" si="4"/>
        <v>0</v>
      </c>
      <c r="AG13" s="1019">
        <f t="shared" si="4"/>
        <v>0</v>
      </c>
      <c r="AH13" s="1016">
        <f t="shared" si="4"/>
        <v>0</v>
      </c>
      <c r="AI13" s="1011">
        <f t="shared" si="4"/>
        <v>60</v>
      </c>
      <c r="AJ13" s="1013">
        <f t="shared" si="4"/>
        <v>0</v>
      </c>
      <c r="AK13" s="1016">
        <f>SUBTOTAL(9,AK9:AK12)</f>
        <v>0</v>
      </c>
      <c r="AL13" s="1020">
        <f>IF(ISNUMBER(NºAsuntos!G13/NºAsuntos!E13),NºAsuntos!G13/NºAsuntos!E13," - ")</f>
        <v>0.86829268292682926</v>
      </c>
      <c r="AM13" s="1020">
        <f>IF(ISNUMBER(((NºAsuntos!I13/NºAsuntos!G13)*11)/factor_trimestre),((NºAsuntos!I13/NºAsuntos!G13)*11)/factor_trimestre," - ")</f>
        <v>7.1573033707865168</v>
      </c>
      <c r="AN13" s="1021">
        <f>IF(ISNUMBER('Resol  Asuntos'!D13/NºAsuntos!G13),'Resol  Asuntos'!D13/NºAsuntos!G13," - ")</f>
        <v>0.33707865168539325</v>
      </c>
      <c r="AO13" s="1022">
        <f>IF(ISNUMBER((NºAsuntos!C13+NºAsuntos!E13)/NºAsuntos!G13),(NºAsuntos!C13+NºAsuntos!E13)/NºAsuntos!G13," - ")</f>
        <v>4.5786516853932584</v>
      </c>
      <c r="AP13" s="1023" t="str">
        <f t="shared" si="2"/>
        <v xml:space="preserve"> - </v>
      </c>
      <c r="AQ13" s="1023">
        <f>IF(ISNUMBER((H13-W13+K13)/(F13)),(H13-W13+K13)/(F13)," - ")</f>
        <v>0</v>
      </c>
      <c r="AR13" s="1024">
        <f>IF(ISNUMBER((Datos!P13-Datos!Q13)/(Datos!R13-Datos!P13+Datos!Q13)),(Datos!P13-Datos!Q13)/(Datos!R13-Datos!P13+Datos!Q13)," - ")</f>
        <v>8.4427767354596627E-3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468</v>
      </c>
      <c r="G16" s="342">
        <f>IF(ISNUMBER(IF(D_I="SI",Datos!I16,Datos!I16+Datos!AC16)),IF(D_I="SI",Datos!I16,Datos!I16+Datos!AC16)," - ")</f>
        <v>460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140</v>
      </c>
      <c r="X16" s="230">
        <f>IF(ISNUMBER(Datos!Q16),Datos!Q16," - ")</f>
        <v>13</v>
      </c>
      <c r="Y16" s="343">
        <f t="shared" ref="Y16:Y17" si="7">SUM(W16:X16)</f>
        <v>153</v>
      </c>
      <c r="Z16" s="344" t="str">
        <f>IF(ISNUMBER(Datos!CC16),Datos!CC16," - ")</f>
        <v xml:space="preserve"> - </v>
      </c>
      <c r="AA16" s="341">
        <f>IF(ISNUMBER(IF(D_I="SI",Datos!L16,Datos!L16+Datos!AF16)),IF(D_I="SI",Datos!L16,Datos!L16+Datos!AF16)," - ")</f>
        <v>548</v>
      </c>
      <c r="AB16" s="343">
        <f>IF(ISNUMBER(Datos!R16),Datos!R16," - ")</f>
        <v>55</v>
      </c>
      <c r="AC16" s="343">
        <f t="shared" si="6"/>
        <v>603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0.63636363636363635</v>
      </c>
      <c r="AM16" s="264">
        <f>IF(ISNUMBER(((NºAsuntos!I16/NºAsuntos!G16)*11)/factor_trimestre),((NºAsuntos!I16/NºAsuntos!G16)*11)/factor_trimestre," - ")</f>
        <v>7.8285714285714283</v>
      </c>
      <c r="AN16" s="248">
        <f>IF(ISNUMBER('Resol  Asuntos'!D16/NºAsuntos!G16),'Resol  Asuntos'!D16/NºAsuntos!G16," - ")</f>
        <v>0.25</v>
      </c>
      <c r="AO16" s="249">
        <f>IF(ISNUMBER((NºAsuntos!C16+NºAsuntos!E16)/NºAsuntos!G16),(NºAsuntos!C16+NºAsuntos!E16)/NºAsuntos!G16," - ")</f>
        <v>4.8571428571428568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v>
      </c>
      <c r="X17" s="230">
        <f>IF(ISNUMBER(Datos!Q17),Datos!Q17," - ")</f>
        <v>0</v>
      </c>
      <c r="Y17" s="343">
        <f t="shared" si="7"/>
        <v>17</v>
      </c>
      <c r="Z17" s="344" t="str">
        <f>IF(ISNUMBER(Datos!CC17),Datos!CC17," - ")</f>
        <v xml:space="preserve"> - </v>
      </c>
      <c r="AA17" s="341">
        <f>IF(ISNUMBER(Datos!L17),Datos!L17,"-")</f>
        <v>24</v>
      </c>
      <c r="AB17" s="343">
        <f>IF(ISNUMBER(Datos!R17),Datos!R17," - ")</f>
        <v>0</v>
      </c>
      <c r="AC17" s="343">
        <f t="shared" si="6"/>
        <v>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0.77272727272727271</v>
      </c>
      <c r="AM17" s="264">
        <f>IF(ISNUMBER(((NºAsuntos!I17/NºAsuntos!G17)*11)/factor_trimestre),((NºAsuntos!I17/NºAsuntos!G17)*11)/factor_trimestre," - ")</f>
        <v>2.8235294117647061</v>
      </c>
      <c r="AN17" s="248">
        <f>IF(ISNUMBER('Resol  Asuntos'!D17/NºAsuntos!G17),'Resol  Asuntos'!D17/NºAsuntos!G17," - ")</f>
        <v>5.8823529411764705E-2</v>
      </c>
      <c r="AO17" s="249">
        <f>IF(ISNUMBER((NºAsuntos!C17+NºAsuntos!E17)/NºAsuntos!G17),(NºAsuntos!C17+NºAsuntos!E17)/NºAsuntos!G17," - ")</f>
        <v>2.4117647058823528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468</v>
      </c>
      <c r="G18" s="1012">
        <f>SUBTOTAL(9,G15:G17)</f>
        <v>479</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157</v>
      </c>
      <c r="X18" s="1013">
        <f t="shared" si="11"/>
        <v>13</v>
      </c>
      <c r="Y18" s="1014">
        <f t="shared" si="11"/>
        <v>170</v>
      </c>
      <c r="Z18" s="1014">
        <f t="shared" si="11"/>
        <v>0</v>
      </c>
      <c r="AA18" s="1014">
        <f t="shared" si="11"/>
        <v>572</v>
      </c>
      <c r="AB18" s="1014">
        <f t="shared" si="11"/>
        <v>55</v>
      </c>
      <c r="AC18" s="1014">
        <f t="shared" si="11"/>
        <v>627</v>
      </c>
      <c r="AD18" s="1014">
        <f t="shared" si="11"/>
        <v>0</v>
      </c>
      <c r="AE18" s="1018">
        <f t="shared" si="11"/>
        <v>0</v>
      </c>
      <c r="AF18" s="1011">
        <f t="shared" si="11"/>
        <v>0</v>
      </c>
      <c r="AG18" s="1019">
        <f t="shared" si="11"/>
        <v>0</v>
      </c>
      <c r="AH18" s="1016">
        <f t="shared" si="11"/>
        <v>0</v>
      </c>
      <c r="AI18" s="1011">
        <f t="shared" si="11"/>
        <v>36</v>
      </c>
      <c r="AJ18" s="1013">
        <f t="shared" si="11"/>
        <v>0</v>
      </c>
      <c r="AK18" s="1016">
        <f t="shared" si="11"/>
        <v>0</v>
      </c>
      <c r="AL18" s="1020">
        <f>IF(ISNUMBER(NºAsuntos!G18/NºAsuntos!E18),NºAsuntos!G18/NºAsuntos!E18," - ")</f>
        <v>0.64876033057851235</v>
      </c>
      <c r="AM18" s="1020">
        <f>IF(ISNUMBER(((NºAsuntos!I18/NºAsuntos!G18)*11)/factor_trimestre),((NºAsuntos!I18/NºAsuntos!G18)*11)/factor_trimestre," - ")</f>
        <v>7.2866242038216562</v>
      </c>
      <c r="AN18" s="1021">
        <f>IF(ISNUMBER('Resol  Asuntos'!D18/NºAsuntos!G18),'Resol  Asuntos'!D18/NºAsuntos!G18," - ")</f>
        <v>0.22929936305732485</v>
      </c>
      <c r="AO18" s="1022">
        <f>IF(ISNUMBER((NºAsuntos!C18+NºAsuntos!E18)/NºAsuntos!G18),(NºAsuntos!C18+NºAsuntos!E18)/NºAsuntos!G18," - ")</f>
        <v>4.5923566878980893</v>
      </c>
      <c r="AP18" s="1023" t="str">
        <f t="shared" si="2"/>
        <v xml:space="preserve"> - </v>
      </c>
      <c r="AQ18" s="1023">
        <f>IF(ISNUMBER((H18-W18+K18)/(F18)),(H18-W18+K18)/(F18)," - ")</f>
        <v>-0.33547008547008544</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478</v>
      </c>
      <c r="G19" s="967">
        <f t="shared" si="13"/>
        <v>489</v>
      </c>
      <c r="H19" s="966">
        <f t="shared" si="13"/>
        <v>0</v>
      </c>
      <c r="I19" s="968">
        <f t="shared" si="13"/>
        <v>0</v>
      </c>
      <c r="J19" s="968">
        <f t="shared" si="13"/>
        <v>0</v>
      </c>
      <c r="K19" s="1027">
        <f t="shared" si="13"/>
        <v>0</v>
      </c>
      <c r="L19" s="968">
        <f t="shared" si="13"/>
        <v>42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157</v>
      </c>
      <c r="X19" s="967">
        <f t="shared" si="14"/>
        <v>33</v>
      </c>
      <c r="Y19" s="974">
        <f t="shared" si="14"/>
        <v>190</v>
      </c>
      <c r="Z19" s="974">
        <f t="shared" si="14"/>
        <v>0</v>
      </c>
      <c r="AA19" s="974">
        <f t="shared" si="14"/>
        <v>583</v>
      </c>
      <c r="AB19" s="974">
        <f t="shared" si="14"/>
        <v>1130</v>
      </c>
      <c r="AC19" s="974">
        <f t="shared" si="14"/>
        <v>639</v>
      </c>
      <c r="AD19" s="974">
        <f t="shared" si="14"/>
        <v>0</v>
      </c>
      <c r="AE19" s="976">
        <f t="shared" si="14"/>
        <v>0</v>
      </c>
      <c r="AF19" s="977">
        <f t="shared" si="14"/>
        <v>0</v>
      </c>
      <c r="AG19" s="978">
        <f t="shared" si="14"/>
        <v>0</v>
      </c>
      <c r="AH19" s="976">
        <f t="shared" si="14"/>
        <v>0</v>
      </c>
      <c r="AI19" s="966">
        <f t="shared" si="14"/>
        <v>96</v>
      </c>
      <c r="AJ19" s="966">
        <f t="shared" si="14"/>
        <v>0</v>
      </c>
      <c r="AK19" s="976">
        <f t="shared" si="14"/>
        <v>0</v>
      </c>
      <c r="AL19" s="1030">
        <f>IF(ISNUMBER(NºAsuntos!G19/NºAsuntos!E19),NºAsuntos!G19/NºAsuntos!E19," - ")</f>
        <v>0.7494407158836689</v>
      </c>
      <c r="AM19" s="1031">
        <f>IF(ISNUMBER(((NºAsuntos!I19/NºAsuntos!G19)*11)/factor_trimestre),((NºAsuntos!I19/NºAsuntos!G19)*11)/factor_trimestre," - ")</f>
        <v>7.2179104477611951</v>
      </c>
      <c r="AN19" s="1031">
        <f>IF(ISNUMBER('Resol  Asuntos'!D19/NºAsuntos!G19),'Resol  Asuntos'!D19/NºAsuntos!G19," - ")</f>
        <v>0.28656716417910449</v>
      </c>
      <c r="AO19" s="1032">
        <f>IF(ISNUMBER((NºAsuntos!C19+NºAsuntos!E19)/NºAsuntos!G19),(NºAsuntos!C19+NºAsuntos!E19)/NºAsuntos!G19," - ")</f>
        <v>4.5850746268656719</v>
      </c>
      <c r="AP19" s="1033" t="str">
        <f t="shared" si="2"/>
        <v xml:space="preserve"> - </v>
      </c>
      <c r="AQ19" s="1034">
        <f>IF(OR(ISNUMBER(FIND("01",Criterios!A8,1)),ISNUMBER(FIND("02",Criterios!A8,1)),ISNUMBER(FIND("03",Criterios!A8,1)),ISNUMBER(FIND("04",Criterios!A8,1))),(I19-W19+K19)/(F19-K19),(H19-W19+K19)/(F19-K19))</f>
        <v>-0.32845188284518828</v>
      </c>
      <c r="AR19" s="1035">
        <f>IF(ISNUMBER((Datos!P19-Datos!Q19)/(Datos!R19-Datos!P19+Datos!Q19)),(Datos!P19-Datos!Q19)/(Datos!R19-Datos!P19+Datos!Q19)," - ")</f>
        <v>8.0285459411239962E-3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264.42642328884858</v>
      </c>
      <c r="G21" s="257">
        <f>IF(ISNUMBER(STDEV(G8:G18)),STDEV(G8:G18),"-")</f>
        <v>250.1525534548868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78.769918115991459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26.75070092539633</v>
      </c>
      <c r="AJ21" s="256">
        <f t="shared" si="18"/>
        <v>0</v>
      </c>
      <c r="AK21" s="258">
        <f t="shared" si="18"/>
        <v>0</v>
      </c>
      <c r="AL21" s="253">
        <f t="shared" si="18"/>
        <v>0.32656353507982711</v>
      </c>
      <c r="AM21" s="254">
        <f t="shared" si="18"/>
        <v>2.0365281993597959</v>
      </c>
      <c r="AN21" s="254">
        <f t="shared" si="18"/>
        <v>0.1138615230333796</v>
      </c>
      <c r="AO21" s="255">
        <f t="shared" si="18"/>
        <v>1.0033650528295486</v>
      </c>
      <c r="AP21" s="295" t="str">
        <f t="shared" si="18"/>
        <v>-</v>
      </c>
      <c r="AQ21" s="296">
        <f t="shared" si="18"/>
        <v>0.2372131723211281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w0WY4pMLSHnQUHjZS2v3HZYlvCRSzDgtf/9RcjJDHq4e0BHhNCfdsT09xeO5/eN1KzHYl9TDhiXDl906Nrgow==" saltValue="WHrvO2CtiwduStwCJL90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PADRON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0</v>
      </c>
      <c r="F10" s="357" t="str">
        <f>IF(ISNUMBER((Datos!K10-Datos!U10)/Datos!U10),(Datos!K10-Datos!U10)/Datos!U10," - ")</f>
        <v xml:space="preserve"> - </v>
      </c>
      <c r="G10" s="358">
        <f>IF(ISNUMBER((Datos!L10-Datos!V10)/Datos!V10),(Datos!L10-Datos!V10)/Datos!V10," - ")</f>
        <v>0.5714285714285714</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-0.22077922077922077</v>
      </c>
      <c r="I12" s="359">
        <f>IF(ISNUMBER((Tasas!C12-Datos!BE12)/Datos!BE12),(Tasas!C12-Datos!BE12)/Datos!BE12," - ")</f>
        <v>0.24607954086169265</v>
      </c>
      <c r="J12" s="358">
        <f>IF(ISNUMBER((Tasas!D12-Datos!BF12)/Datos!BF12),(Tasas!D12-Datos!BF12)/Datos!BF12," - ")</f>
        <v>0.10674157303370775</v>
      </c>
      <c r="K12" s="360">
        <f>IF(ISNUMBER((Tasas!E12-Datos!BG12)/Datos!BG12),(Tasas!E12-Datos!BG12)/Datos!BG12," - ")</f>
        <v>0.18170016562961633</v>
      </c>
      <c r="M12" t="e">
        <f>IF(Monitorios="SI",Datos!CE12,0)</f>
        <v>#REF!</v>
      </c>
      <c r="N12" t="e">
        <f>IF(Monitorios="SI",Datos!CF12,0)</f>
        <v>#REF!</v>
      </c>
      <c r="O12" t="e">
        <f>IF(Monitorios="SI",Datos!CG12,0)</f>
        <v>#REF!</v>
      </c>
      <c r="P12" t="e">
        <f>IF(Monitorios="SI",Datos!CH12,0)</f>
        <v>#REF!</v>
      </c>
      <c r="Q12">
        <f>IF(J_V="SI",0,Datos!AG12)</f>
        <v>16</v>
      </c>
      <c r="R12">
        <f>IF(J_V="SI",0,Datos!AH12)</f>
        <v>15</v>
      </c>
      <c r="S12">
        <f>IF(J_V="SI",0,Datos!AI12)</f>
        <v>14</v>
      </c>
      <c r="T12">
        <f>IF(J_V="SI",0,Datos!AJ12)</f>
        <v>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-0.22077922077922077</v>
      </c>
      <c r="I13" s="366">
        <f>IF(ISNUMBER((Tasas!C13-Datos!BE13)/Datos!BE13),(Tasas!C13-Datos!BE13)/Datos!BE13," - ")</f>
        <v>0.25221027002215257</v>
      </c>
      <c r="J13" s="364">
        <f>IF(ISNUMBER((Tasas!D13-Datos!BF13)/Datos!BF13),(Tasas!D13-Datos!BF13)/Datos!BF13," - ")</f>
        <v>0.10674157303370775</v>
      </c>
      <c r="K13" s="367">
        <f>IF(ISNUMBER((Tasas!E13-Datos!BG13)/Datos!BG13),(Tasas!E13-Datos!BG13)/Datos!BG13," - ")</f>
        <v>0.18683471318746303</v>
      </c>
      <c r="M13" t="e">
        <f>IF(Monitorios="SI",Datos!CE13,0)</f>
        <v>#REF!</v>
      </c>
      <c r="N13" t="e">
        <f>IF(Monitorios="SI",Datos!CF13,0)</f>
        <v>#REF!</v>
      </c>
      <c r="O13" t="e">
        <f>IF(Monitorios="SI",Datos!CG13,0)</f>
        <v>#REF!</v>
      </c>
      <c r="P13" t="e">
        <f>IF(Monitorios="SI",Datos!CH13,0)</f>
        <v>#REF!</v>
      </c>
      <c r="Q13">
        <f>IF(J_V="SI",0,Datos!AG13)</f>
        <v>16</v>
      </c>
      <c r="R13">
        <f>IF(J_V="SI",0,Datos!AH13)</f>
        <v>15</v>
      </c>
      <c r="S13">
        <f>IF(J_V="SI",0,Datos!AI13)</f>
        <v>14</v>
      </c>
      <c r="T13">
        <f>IF(J_V="SI",0,Datos!AJ13)</f>
        <v>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0.37313432835820898</v>
      </c>
      <c r="E16" s="357">
        <f>IF(ISNUMBER(
   IF(D_I="SI",(Datos!J16-Datos!T16)/Datos!T16,(Datos!J16+Datos!AD16-(Datos!T16+Datos!AL16))/(Datos!T16+Datos!AL16))
     ),IF(D_I="SI",(Datos!J16-Datos!T16)/Datos!T16,(Datos!J16+Datos!AD16-(Datos!T16+Datos!AL16))/(Datos!T16+Datos!AL16))," - ")</f>
        <v>0.16402116402116401</v>
      </c>
      <c r="F16" s="357">
        <f>IF(ISNUMBER(
   IF(D_I="SI",(Datos!K16-Datos!U16)/Datos!U16,(Datos!K16+Datos!AE16-(Datos!U16+Datos!AM16))/(Datos!U16+Datos!AM16))
     ),IF(D_I="SI",(Datos!K16-Datos!U16)/Datos!U16,(Datos!K16+Datos!AE16-(Datos!U16+Datos!AM16))/(Datos!U16+Datos!AM16))," - ")</f>
        <v>-0.16666666666666666</v>
      </c>
      <c r="G16" s="358">
        <f>IF(ISNUMBER(
   IF(D_I="SI",(Datos!L16-Datos!V16)/Datos!V16,(Datos!L16+Datos!AF16-(Datos!V16+Datos!AN16))/(Datos!V16+Datos!AN16))
     ),IF(D_I="SI",(Datos!L16-Datos!V16)/Datos!V16,(Datos!L16+Datos!AF16-(Datos!V16+Datos!AN16))/(Datos!V16+Datos!AN16))," - ")</f>
        <v>0.50964187327823696</v>
      </c>
      <c r="H16" s="234">
        <f>IF(ISNUMBER((Datos!M16-Datos!W16)/Datos!W16),(Datos!M16-Datos!W16)/Datos!W16," - ")</f>
        <v>0.20689655172413793</v>
      </c>
      <c r="I16" s="359">
        <f>IF(ISNUMBER((Tasas!C16-Datos!BE16)/Datos!BE16),(Tasas!C16-Datos!BE16)/Datos!BE16," - ")</f>
        <v>0.81157024793388433</v>
      </c>
      <c r="J16" s="358">
        <f>IF(ISNUMBER((Tasas!D16-Datos!BF16)/Datos!BF16),(Tasas!D16-Datos!BF16)/Datos!BF16," - ")</f>
        <v>0.44827586206896552</v>
      </c>
      <c r="K16" s="360">
        <f>IF(ISNUMBER((Tasas!E16-Datos!BG16)/Datos!BG16),(Tasas!E16-Datos!BG16)/Datos!BG16," - ")</f>
        <v>0.55725190839694638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1.375</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0.84615384615384615</v>
      </c>
      <c r="H17" s="234" t="str">
        <f>IF(ISNUMBER((Datos!M17-Datos!W17)/Datos!W17),(Datos!M17-Datos!W17)/Datos!W17," - ")</f>
        <v xml:space="preserve"> - </v>
      </c>
      <c r="I17" s="359">
        <f>IF(ISNUMBER((Tasas!C17-Datos!BE17)/Datos!BE17),(Tasas!C17-Datos!BE17)/Datos!BE17," - ")</f>
        <v>0.84615384615384637</v>
      </c>
      <c r="J17" s="358" t="str">
        <f>IF(ISNUMBER((Tasas!D17-Datos!BF17)/Datos!BF17),(Tasas!D17-Datos!BF17)/Datos!BF17," - ")</f>
        <v xml:space="preserve"> - </v>
      </c>
      <c r="K17" s="360">
        <f>IF(ISNUMBER((Tasas!E17-Datos!BG17)/Datos!BG17),(Tasas!E17-Datos!BG17)/Datos!BG17," - ")</f>
        <v>0.36666666666666664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0.39650145772594753</v>
      </c>
      <c r="E18" s="363">
        <f>IF(ISNUMBER(
   IF(D_I="SI",(Datos!J18-Datos!T18)/Datos!T18,(Datos!J18+Datos!AD18-(Datos!T18+Datos!AL18))/(Datos!T18+Datos!AL18))
     ),IF(D_I="SI",(Datos!J18-Datos!T18)/Datos!T18,(Datos!J18+Datos!AD18-(Datos!T18+Datos!AL18))/(Datos!T18+Datos!AL18))," - ")</f>
        <v>0.14691943127962084</v>
      </c>
      <c r="F18" s="363">
        <f>IF(ISNUMBER(
   IF(D_I="SI",(Datos!K18-Datos!U18)/Datos!U18,(Datos!K18+Datos!AE18-(Datos!U18+Datos!AM18))/(Datos!U18+Datos!AM18))
     ),IF(D_I="SI",(Datos!K18-Datos!U18)/Datos!U18,(Datos!K18+Datos!AE18-(Datos!U18+Datos!AM18))/(Datos!U18+Datos!AM18))," - ")</f>
        <v>-0.15135135135135136</v>
      </c>
      <c r="G18" s="364">
        <f>IF(ISNUMBER(
   IF(D_I="SI",(Datos!L18-Datos!V18)/Datos!V18,(Datos!L18+Datos!AF18-(Datos!V18+Datos!AN18))/(Datos!V18+Datos!AN18))
     ),IF(D_I="SI",(Datos!L18-Datos!V18)/Datos!V18,(Datos!L18+Datos!AF18-(Datos!V18+Datos!AN18))/(Datos!V18+Datos!AN18))," - ")</f>
        <v>0.52127659574468088</v>
      </c>
      <c r="H18" s="365">
        <f>IF(ISNUMBER((Datos!M18-Datos!W18)/Datos!W18),(Datos!M18-Datos!W18)/Datos!W18," - ")</f>
        <v>0.2413793103448276</v>
      </c>
      <c r="I18" s="366">
        <f>IF(ISNUMBER((Tasas!C18-Datos!BE18)/Datos!BE18),(Tasas!C18-Datos!BE18)/Datos!BE18," - ")</f>
        <v>0.7925870714188914</v>
      </c>
      <c r="J18" s="364">
        <f>IF(ISNUMBER((Tasas!D18-Datos!BF18)/Datos!BF18),(Tasas!D18-Datos!BF18)/Datos!BF18," - ")</f>
        <v>0.46277179881396874</v>
      </c>
      <c r="K18" s="367">
        <f>IF(ISNUMBER((Tasas!E18-Datos!BG18)/Datos!BG18),(Tasas!E18-Datos!BG18)/Datos!BG18," - ")</f>
        <v>0.53354871346777344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0.25895953757225432</v>
      </c>
      <c r="E19" s="372">
        <f>IF(ISNUMBER(
   IF(J_V="SI",(Datos!J19-Datos!T19)/Datos!T19,(Datos!J19+Datos!Z19-(Datos!T19+Datos!AH19))/(Datos!T19+Datos!AH19))
     ),IF(J_V="SI",(Datos!J19-Datos!T19)/Datos!T19,(Datos!J19+Datos!Z19-(Datos!T19+Datos!AH19))/(Datos!T19+Datos!AH19))," - ")</f>
        <v>-4.4543429844097994E-3</v>
      </c>
      <c r="F19" s="372">
        <f>IF(ISNUMBER(
   IF(J_V="SI",(Datos!K19-Datos!U19)/Datos!U19,(Datos!K19+Datos!AA19-(Datos!U19+Datos!AI19))/(Datos!U19+Datos!AI19))
     ),IF(J_V="SI",(Datos!K19-Datos!U19)/Datos!U19,(Datos!K19+Datos!AA19-(Datos!U19+Datos!AI19))/(Datos!U19+Datos!AI19))," - ")</f>
        <v>-0.12303664921465969</v>
      </c>
      <c r="G19" s="373">
        <f>IF(ISNUMBER(
   IF(J_V="SI",(Datos!L19-Datos!V19)/Datos!V19,(Datos!L19+Datos!AB19-(Datos!V19+Datos!AJ19))/(Datos!V19+Datos!AJ19))
     ),IF(J_V="SI",(Datos!L19-Datos!V19)/Datos!V19,(Datos!L19+Datos!AB19-(Datos!V19+Datos!AJ19))/(Datos!V19+Datos!AJ19))," - ")</f>
        <v>0.28753993610223644</v>
      </c>
      <c r="H19" s="374">
        <f>IF(ISNUMBER((Datos!M19-Datos!W19)/Datos!W19),(Datos!M19-Datos!W19)/Datos!W19," - ")</f>
        <v>-9.4339622641509441E-2</v>
      </c>
      <c r="I19" s="371">
        <f>IF(ISNUMBER((Tasas!C19-Datos!BE19)/Datos!BE19),(Tasas!C19-Datos!BE19)/Datos!BE19," - ")</f>
        <v>0.46817986743598305</v>
      </c>
      <c r="J19" s="372">
        <f>IF(ISNUMBER((Tasas!D19-Datos!BF19)/Datos!BF19),(Tasas!D19-Datos!BF19)/Datos!BF19," - ")</f>
        <v>0.22998490692604404</v>
      </c>
      <c r="K19" s="373">
        <f>IF(ISNUMBER((Tasas!E19-Datos!BG19)/Datos!BG19),(Tasas!E19-Datos!BG19)/Datos!BG19," - ")</f>
        <v>0.33295167995638264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0.46749570665118734</v>
      </c>
      <c r="E21" s="282">
        <f t="shared" si="1"/>
        <v>9.0031935228345863E-2</v>
      </c>
      <c r="F21" s="282">
        <f t="shared" si="1"/>
        <v>9.2122715455043552E-2</v>
      </c>
      <c r="G21" s="283">
        <f t="shared" si="1"/>
        <v>0.15830553154030982</v>
      </c>
      <c r="H21" s="289">
        <f t="shared" si="1"/>
        <v>0.25725849665207978</v>
      </c>
      <c r="I21" s="281">
        <f t="shared" si="1"/>
        <v>0.31150139711322855</v>
      </c>
      <c r="J21" s="282">
        <f t="shared" si="1"/>
        <v>0.20145647104152148</v>
      </c>
      <c r="K21" s="283">
        <f t="shared" si="1"/>
        <v>0.1807717764952621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RoUkZMYCIZDyWR35Vb/+AivSI/IvPWP/RWJ3MD8NIpA+r2tHdNninFtYgQlxkqadfE0pX9bSrBdL3yf7oqPtw==" saltValue="WU3HjkwV6NVePMrTU7yj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